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 tabRatio="500"/>
  </bookViews>
  <sheets>
    <sheet name="Capa" sheetId="1" r:id="rId1"/>
    <sheet name="Processos" sheetId="2" r:id="rId2"/>
    <sheet name="Indicadores" sheetId="3" r:id="rId3"/>
    <sheet name="Banco de Dados" sheetId="4" state="hidden" r:id="rId4"/>
  </sheets>
  <definedNames>
    <definedName name="SegmentaçãodeDados_Modalidade1">#N/A</definedName>
    <definedName name="SegmentaçãodeDados_Status1">#N/A</definedName>
  </definedNames>
  <calcPr calcId="144525"/>
  <pivotCaches>
    <pivotCache cacheId="0" r:id="rId5"/>
  </pivotCaches>
  <extLst>
    <ext uri="smNativeData">
      <pm:revision xmlns:pm="smNativeData" day="1624570504" val="982" rev="124" revOS="4" revMin="124" revMax="0"/>
      <pm:docPrefs xmlns:pm="smNativeData" id="1624570504" fixedDigits="0" showNotice="1" showFrameBounds="1" autoChart="1" recalcOnPrint="1" recalcOnCopy="1" finalRounding="1" compatTextArt="1" tab="567" useDefinedPrintRange="1" printArea="currentSheet"/>
      <pm:compatibility xmlns:pm="smNativeData" id="1624570504" overlapCells="1"/>
      <pm:defCurrency xmlns:pm="smNativeData" id="1624570504"/>
    </ext>
  </extLst>
</workbook>
</file>

<file path=xl/calcChain.xml><?xml version="1.0" encoding="utf-8"?>
<calcChain xmlns="http://schemas.openxmlformats.org/spreadsheetml/2006/main">
  <c r="AO109" i="2" l="1"/>
  <c r="AJ109" i="2"/>
  <c r="AK109" i="2" s="1"/>
  <c r="AB109" i="2"/>
  <c r="AO108" i="2" l="1"/>
  <c r="AJ108" i="2"/>
  <c r="AK108" i="2" s="1"/>
  <c r="AB108" i="2"/>
  <c r="AJ73" i="2" l="1"/>
  <c r="AK73" i="2" s="1"/>
  <c r="AO56" i="2"/>
  <c r="AO57" i="2"/>
  <c r="AO49" i="2"/>
  <c r="AO50" i="2"/>
  <c r="AO51" i="2"/>
  <c r="AO52" i="2"/>
  <c r="AO53" i="2"/>
  <c r="AO54" i="2"/>
  <c r="AO84" i="2"/>
  <c r="AO79" i="2"/>
  <c r="AO80" i="2"/>
  <c r="AO73" i="2"/>
  <c r="AO74" i="2"/>
  <c r="AO96" i="2" l="1"/>
  <c r="AO99" i="2"/>
  <c r="AO97" i="2"/>
  <c r="AO95" i="2" l="1"/>
  <c r="AJ95" i="2"/>
  <c r="AK95" i="2" s="1"/>
  <c r="AB95" i="2"/>
  <c r="AO94" i="2"/>
  <c r="AJ94" i="2"/>
  <c r="AK94" i="2" s="1"/>
  <c r="AB94" i="2"/>
  <c r="AO93" i="2"/>
  <c r="AJ93" i="2"/>
  <c r="AK93" i="2" s="1"/>
  <c r="AB93" i="2"/>
  <c r="AO92" i="2" l="1"/>
  <c r="AJ92" i="2"/>
  <c r="AK92" i="2" s="1"/>
  <c r="AB92" i="2"/>
  <c r="AO91" i="2"/>
  <c r="AJ91" i="2"/>
  <c r="AK91" i="2" s="1"/>
  <c r="AB91" i="2"/>
  <c r="I336" i="3" l="1"/>
  <c r="I328" i="3"/>
  <c r="I314" i="3"/>
  <c r="I306" i="3"/>
  <c r="I294" i="3"/>
  <c r="I293" i="3"/>
  <c r="I289" i="3"/>
  <c r="H258" i="3"/>
  <c r="M272" i="3" s="1"/>
  <c r="H257" i="3"/>
  <c r="I257" i="3" s="1"/>
  <c r="R271" i="3" s="1"/>
  <c r="H256" i="3"/>
  <c r="J256" i="3" s="1"/>
  <c r="H255" i="3"/>
  <c r="I255" i="3" s="1"/>
  <c r="R269" i="3" s="1"/>
  <c r="H254" i="3"/>
  <c r="M268" i="3" s="1"/>
  <c r="H253" i="3"/>
  <c r="I253" i="3" s="1"/>
  <c r="R267" i="3" s="1"/>
  <c r="H252" i="3"/>
  <c r="M266" i="3" s="1"/>
  <c r="H238" i="3"/>
  <c r="I238" i="3" s="1"/>
  <c r="H237" i="3"/>
  <c r="I237" i="3" s="1"/>
  <c r="H236" i="3"/>
  <c r="I236" i="3" s="1"/>
  <c r="H235" i="3"/>
  <c r="I235" i="3" s="1"/>
  <c r="H234" i="3"/>
  <c r="I234" i="3" s="1"/>
  <c r="H233" i="3"/>
  <c r="I233" i="3" s="1"/>
  <c r="H232" i="3"/>
  <c r="I232" i="3" s="1"/>
  <c r="H231" i="3"/>
  <c r="I231" i="3" s="1"/>
  <c r="H230" i="3"/>
  <c r="I230" i="3" s="1"/>
  <c r="H229" i="3"/>
  <c r="I229" i="3" s="1"/>
  <c r="H228" i="3"/>
  <c r="I228" i="3" s="1"/>
  <c r="H227" i="3"/>
  <c r="I227" i="3" s="1"/>
  <c r="H226" i="3"/>
  <c r="I226" i="3" s="1"/>
  <c r="H225" i="3"/>
  <c r="I225" i="3" s="1"/>
  <c r="H224" i="3"/>
  <c r="I224" i="3" s="1"/>
  <c r="H223" i="3"/>
  <c r="I223" i="3" s="1"/>
  <c r="H222" i="3"/>
  <c r="I222" i="3" s="1"/>
  <c r="H221" i="3"/>
  <c r="I221" i="3" s="1"/>
  <c r="H220" i="3"/>
  <c r="I220" i="3" s="1"/>
  <c r="H219" i="3"/>
  <c r="I219" i="3" s="1"/>
  <c r="H218" i="3"/>
  <c r="I218" i="3" s="1"/>
  <c r="H217" i="3"/>
  <c r="I217" i="3" s="1"/>
  <c r="H216" i="3"/>
  <c r="I216" i="3" s="1"/>
  <c r="H215" i="3"/>
  <c r="I215" i="3" s="1"/>
  <c r="H214" i="3"/>
  <c r="I214" i="3" s="1"/>
  <c r="H213" i="3"/>
  <c r="I213" i="3" s="1"/>
  <c r="H212" i="3"/>
  <c r="I212" i="3" s="1"/>
  <c r="H211" i="3"/>
  <c r="I211" i="3" s="1"/>
  <c r="H210" i="3"/>
  <c r="I210" i="3" s="1"/>
  <c r="H209" i="3"/>
  <c r="I209" i="3" s="1"/>
  <c r="H208" i="3"/>
  <c r="I208" i="3" s="1"/>
  <c r="H207" i="3"/>
  <c r="I207" i="3" s="1"/>
  <c r="H206" i="3"/>
  <c r="I206" i="3" s="1"/>
  <c r="H205" i="3"/>
  <c r="I205" i="3" s="1"/>
  <c r="H204" i="3"/>
  <c r="I204" i="3" s="1"/>
  <c r="H203" i="3"/>
  <c r="I203" i="3" s="1"/>
  <c r="H202" i="3"/>
  <c r="I202" i="3" s="1"/>
  <c r="H201" i="3"/>
  <c r="I201" i="3" s="1"/>
  <c r="H200" i="3"/>
  <c r="I200" i="3" s="1"/>
  <c r="H199" i="3"/>
  <c r="I199" i="3" s="1"/>
  <c r="H198" i="3"/>
  <c r="I198" i="3" s="1"/>
  <c r="H197" i="3"/>
  <c r="I197" i="3" s="1"/>
  <c r="H196" i="3"/>
  <c r="I196" i="3" s="1"/>
  <c r="H195" i="3"/>
  <c r="I195" i="3" s="1"/>
  <c r="H194" i="3"/>
  <c r="I194" i="3" s="1"/>
  <c r="H193" i="3"/>
  <c r="I193" i="3" s="1"/>
  <c r="H192" i="3"/>
  <c r="I192" i="3" s="1"/>
  <c r="H191" i="3"/>
  <c r="I191" i="3" s="1"/>
  <c r="H190" i="3"/>
  <c r="I190" i="3" s="1"/>
  <c r="H189" i="3"/>
  <c r="I189" i="3" s="1"/>
  <c r="H188" i="3"/>
  <c r="I188" i="3" s="1"/>
  <c r="H187" i="3"/>
  <c r="I187" i="3" s="1"/>
  <c r="H186" i="3"/>
  <c r="I186" i="3" s="1"/>
  <c r="H185" i="3"/>
  <c r="I185" i="3" s="1"/>
  <c r="H184" i="3"/>
  <c r="I184" i="3" s="1"/>
  <c r="H183" i="3"/>
  <c r="I183" i="3" s="1"/>
  <c r="H182" i="3"/>
  <c r="I182" i="3" s="1"/>
  <c r="H181" i="3"/>
  <c r="I181" i="3" s="1"/>
  <c r="H180" i="3"/>
  <c r="I180" i="3" s="1"/>
  <c r="H179" i="3"/>
  <c r="I179" i="3" s="1"/>
  <c r="H178" i="3"/>
  <c r="I178" i="3" s="1"/>
  <c r="H177" i="3"/>
  <c r="I177" i="3" s="1"/>
  <c r="H167" i="3"/>
  <c r="H166" i="3"/>
  <c r="H165" i="3"/>
  <c r="H164" i="3"/>
  <c r="H163" i="3"/>
  <c r="H162" i="3"/>
  <c r="H159" i="3"/>
  <c r="H158" i="3"/>
  <c r="H157" i="3"/>
  <c r="H156" i="3"/>
  <c r="H155" i="3"/>
  <c r="J144" i="3"/>
  <c r="H144" i="3"/>
  <c r="F144" i="3"/>
  <c r="D144" i="3"/>
  <c r="D133" i="3"/>
  <c r="L143" i="3" s="1"/>
  <c r="D132" i="3"/>
  <c r="L142" i="3" s="1"/>
  <c r="H108" i="3"/>
  <c r="H107" i="3"/>
  <c r="H106" i="3"/>
  <c r="H105" i="3"/>
  <c r="H104" i="3"/>
  <c r="H103" i="3"/>
  <c r="H99" i="3"/>
  <c r="H98" i="3"/>
  <c r="H97" i="3"/>
  <c r="H96" i="3"/>
  <c r="H95" i="3"/>
  <c r="H94" i="3"/>
  <c r="I76" i="3"/>
  <c r="I75" i="3"/>
  <c r="H58" i="3"/>
  <c r="H311" i="3" s="1"/>
  <c r="H57" i="3"/>
  <c r="H310" i="3" s="1"/>
  <c r="H56" i="3"/>
  <c r="H309" i="3" s="1"/>
  <c r="H55" i="3"/>
  <c r="H54" i="3"/>
  <c r="H40" i="3"/>
  <c r="I40" i="3" s="1"/>
  <c r="H39" i="3"/>
  <c r="I39" i="3" s="1"/>
  <c r="H38" i="3"/>
  <c r="I38" i="3" s="1"/>
  <c r="H37" i="3"/>
  <c r="I37" i="3" s="1"/>
  <c r="H36" i="3"/>
  <c r="I36" i="3" s="1"/>
  <c r="H35" i="3"/>
  <c r="I35" i="3" s="1"/>
  <c r="H34" i="3"/>
  <c r="I34" i="3" s="1"/>
  <c r="L23" i="3"/>
  <c r="I288" i="3" s="1"/>
  <c r="AJ250" i="2"/>
  <c r="AK250" i="2" s="1"/>
  <c r="AB250" i="2"/>
  <c r="AO249" i="2"/>
  <c r="AJ249" i="2"/>
  <c r="AK249" i="2" s="1"/>
  <c r="AB249" i="2"/>
  <c r="AO248" i="2"/>
  <c r="AJ248" i="2"/>
  <c r="AK248" i="2" s="1"/>
  <c r="AB248" i="2"/>
  <c r="AO247" i="2"/>
  <c r="AJ247" i="2"/>
  <c r="AK247" i="2" s="1"/>
  <c r="AB247" i="2"/>
  <c r="AO246" i="2"/>
  <c r="AJ246" i="2"/>
  <c r="AK246" i="2" s="1"/>
  <c r="AB246" i="2"/>
  <c r="AO245" i="2"/>
  <c r="AJ245" i="2"/>
  <c r="AK245" i="2" s="1"/>
  <c r="AB245" i="2"/>
  <c r="AO244" i="2"/>
  <c r="AJ244" i="2"/>
  <c r="AK244" i="2" s="1"/>
  <c r="AB244" i="2"/>
  <c r="AO243" i="2"/>
  <c r="AJ243" i="2"/>
  <c r="AK243" i="2" s="1"/>
  <c r="AB243" i="2"/>
  <c r="AO242" i="2"/>
  <c r="AJ242" i="2"/>
  <c r="AK242" i="2" s="1"/>
  <c r="AB242" i="2"/>
  <c r="AO241" i="2"/>
  <c r="AJ241" i="2"/>
  <c r="AK241" i="2" s="1"/>
  <c r="AB241" i="2"/>
  <c r="AO240" i="2"/>
  <c r="AJ240" i="2"/>
  <c r="AK240" i="2" s="1"/>
  <c r="AB240" i="2"/>
  <c r="AO239" i="2"/>
  <c r="AJ239" i="2"/>
  <c r="AK239" i="2" s="1"/>
  <c r="AB239" i="2"/>
  <c r="AO238" i="2"/>
  <c r="AJ238" i="2"/>
  <c r="AK238" i="2" s="1"/>
  <c r="AB238" i="2"/>
  <c r="AO237" i="2"/>
  <c r="AJ237" i="2"/>
  <c r="AK237" i="2" s="1"/>
  <c r="AB237" i="2"/>
  <c r="AO236" i="2"/>
  <c r="AJ236" i="2"/>
  <c r="AK236" i="2" s="1"/>
  <c r="AB236" i="2"/>
  <c r="AO235" i="2"/>
  <c r="AJ235" i="2"/>
  <c r="AK235" i="2" s="1"/>
  <c r="AB235" i="2"/>
  <c r="AO234" i="2"/>
  <c r="AJ234" i="2"/>
  <c r="AK234" i="2" s="1"/>
  <c r="AB234" i="2"/>
  <c r="AO233" i="2"/>
  <c r="AJ233" i="2"/>
  <c r="AK233" i="2" s="1"/>
  <c r="AB233" i="2"/>
  <c r="AO232" i="2"/>
  <c r="AJ232" i="2"/>
  <c r="AK232" i="2" s="1"/>
  <c r="AB232" i="2"/>
  <c r="AO231" i="2"/>
  <c r="AJ231" i="2"/>
  <c r="AK231" i="2" s="1"/>
  <c r="AB231" i="2"/>
  <c r="AO230" i="2"/>
  <c r="AJ230" i="2"/>
  <c r="AK230" i="2" s="1"/>
  <c r="AB230" i="2"/>
  <c r="AO229" i="2"/>
  <c r="AJ229" i="2"/>
  <c r="AK229" i="2" s="1"/>
  <c r="AB229" i="2"/>
  <c r="AO228" i="2"/>
  <c r="AJ228" i="2"/>
  <c r="AK228" i="2" s="1"/>
  <c r="AB228" i="2"/>
  <c r="AO227" i="2"/>
  <c r="AJ227" i="2"/>
  <c r="AK227" i="2" s="1"/>
  <c r="AB227" i="2"/>
  <c r="AO226" i="2"/>
  <c r="AJ226" i="2"/>
  <c r="AK226" i="2" s="1"/>
  <c r="AB226" i="2"/>
  <c r="AO225" i="2"/>
  <c r="AJ225" i="2"/>
  <c r="AK225" i="2" s="1"/>
  <c r="AB225" i="2"/>
  <c r="AO224" i="2"/>
  <c r="AJ224" i="2"/>
  <c r="AK224" i="2" s="1"/>
  <c r="AB224" i="2"/>
  <c r="AO223" i="2"/>
  <c r="AJ223" i="2"/>
  <c r="AK223" i="2" s="1"/>
  <c r="AB223" i="2"/>
  <c r="AO222" i="2"/>
  <c r="AJ222" i="2"/>
  <c r="AK222" i="2" s="1"/>
  <c r="AB222" i="2"/>
  <c r="AO221" i="2"/>
  <c r="AJ221" i="2"/>
  <c r="AK221" i="2" s="1"/>
  <c r="AB221" i="2"/>
  <c r="AO220" i="2"/>
  <c r="AJ220" i="2"/>
  <c r="AK220" i="2" s="1"/>
  <c r="AB220" i="2"/>
  <c r="AO219" i="2"/>
  <c r="AJ219" i="2"/>
  <c r="AK219" i="2" s="1"/>
  <c r="AB219" i="2"/>
  <c r="AO218" i="2"/>
  <c r="AJ218" i="2"/>
  <c r="AK218" i="2" s="1"/>
  <c r="AB218" i="2"/>
  <c r="AO217" i="2"/>
  <c r="AJ217" i="2"/>
  <c r="AK217" i="2" s="1"/>
  <c r="AB217" i="2"/>
  <c r="AO216" i="2"/>
  <c r="AJ216" i="2"/>
  <c r="AK216" i="2" s="1"/>
  <c r="AB216" i="2"/>
  <c r="AO215" i="2"/>
  <c r="AJ215" i="2"/>
  <c r="AK215" i="2" s="1"/>
  <c r="AB215" i="2"/>
  <c r="AO214" i="2"/>
  <c r="AJ214" i="2"/>
  <c r="AK214" i="2" s="1"/>
  <c r="AB214" i="2"/>
  <c r="AO213" i="2"/>
  <c r="AJ213" i="2"/>
  <c r="AK213" i="2" s="1"/>
  <c r="AB213" i="2"/>
  <c r="AO212" i="2"/>
  <c r="AJ212" i="2"/>
  <c r="AK212" i="2" s="1"/>
  <c r="AB212" i="2"/>
  <c r="AO211" i="2"/>
  <c r="AJ211" i="2"/>
  <c r="AK211" i="2" s="1"/>
  <c r="AB211" i="2"/>
  <c r="AO210" i="2"/>
  <c r="AJ210" i="2"/>
  <c r="AK210" i="2" s="1"/>
  <c r="AB210" i="2"/>
  <c r="AO209" i="2"/>
  <c r="AJ209" i="2"/>
  <c r="AK209" i="2" s="1"/>
  <c r="AB209" i="2"/>
  <c r="AO208" i="2"/>
  <c r="AJ208" i="2"/>
  <c r="AK208" i="2" s="1"/>
  <c r="AB208" i="2"/>
  <c r="AO207" i="2"/>
  <c r="AJ207" i="2"/>
  <c r="AK207" i="2" s="1"/>
  <c r="AB207" i="2"/>
  <c r="AO206" i="2"/>
  <c r="AJ206" i="2"/>
  <c r="AK206" i="2" s="1"/>
  <c r="AB206" i="2"/>
  <c r="AO205" i="2"/>
  <c r="AJ205" i="2"/>
  <c r="AK205" i="2" s="1"/>
  <c r="AB205" i="2"/>
  <c r="AO204" i="2"/>
  <c r="AJ204" i="2"/>
  <c r="AK204" i="2" s="1"/>
  <c r="AB204" i="2"/>
  <c r="AO203" i="2"/>
  <c r="AJ203" i="2"/>
  <c r="AK203" i="2" s="1"/>
  <c r="AB203" i="2"/>
  <c r="AO202" i="2"/>
  <c r="AJ202" i="2"/>
  <c r="AK202" i="2" s="1"/>
  <c r="AB202" i="2"/>
  <c r="AO201" i="2"/>
  <c r="AJ201" i="2"/>
  <c r="AK201" i="2" s="1"/>
  <c r="AB201" i="2"/>
  <c r="AO200" i="2"/>
  <c r="AJ200" i="2"/>
  <c r="AK200" i="2" s="1"/>
  <c r="AB200" i="2"/>
  <c r="AO199" i="2"/>
  <c r="AJ199" i="2"/>
  <c r="AK199" i="2" s="1"/>
  <c r="AB199" i="2"/>
  <c r="AO198" i="2"/>
  <c r="AJ198" i="2"/>
  <c r="AK198" i="2" s="1"/>
  <c r="AB198" i="2"/>
  <c r="AO197" i="2"/>
  <c r="AJ197" i="2"/>
  <c r="AK197" i="2" s="1"/>
  <c r="AB197" i="2"/>
  <c r="AO196" i="2"/>
  <c r="AJ196" i="2"/>
  <c r="AK196" i="2" s="1"/>
  <c r="AB196" i="2"/>
  <c r="AO195" i="2"/>
  <c r="AJ195" i="2"/>
  <c r="AK195" i="2" s="1"/>
  <c r="AB195" i="2"/>
  <c r="AO194" i="2"/>
  <c r="AJ194" i="2"/>
  <c r="AK194" i="2" s="1"/>
  <c r="AB194" i="2"/>
  <c r="AO193" i="2"/>
  <c r="AJ193" i="2"/>
  <c r="AK193" i="2" s="1"/>
  <c r="AB193" i="2"/>
  <c r="AO192" i="2"/>
  <c r="AJ192" i="2"/>
  <c r="AK192" i="2" s="1"/>
  <c r="AB192" i="2"/>
  <c r="AO191" i="2"/>
  <c r="AJ191" i="2"/>
  <c r="AK191" i="2" s="1"/>
  <c r="AB191" i="2"/>
  <c r="AO190" i="2"/>
  <c r="AJ190" i="2"/>
  <c r="AK190" i="2" s="1"/>
  <c r="AB190" i="2"/>
  <c r="AO189" i="2"/>
  <c r="AJ189" i="2"/>
  <c r="AK189" i="2" s="1"/>
  <c r="AB189" i="2"/>
  <c r="AO188" i="2"/>
  <c r="AJ188" i="2"/>
  <c r="AK188" i="2" s="1"/>
  <c r="AB188" i="2"/>
  <c r="AO187" i="2"/>
  <c r="AJ187" i="2"/>
  <c r="AK187" i="2" s="1"/>
  <c r="AB187" i="2"/>
  <c r="AO186" i="2"/>
  <c r="AJ186" i="2"/>
  <c r="AK186" i="2" s="1"/>
  <c r="AB186" i="2"/>
  <c r="AO185" i="2"/>
  <c r="AJ185" i="2"/>
  <c r="AK185" i="2" s="1"/>
  <c r="AB185" i="2"/>
  <c r="AO184" i="2"/>
  <c r="AJ184" i="2"/>
  <c r="AK184" i="2" s="1"/>
  <c r="AB184" i="2"/>
  <c r="AO183" i="2"/>
  <c r="AJ183" i="2"/>
  <c r="AK183" i="2" s="1"/>
  <c r="AB183" i="2"/>
  <c r="AO182" i="2"/>
  <c r="AJ182" i="2"/>
  <c r="AK182" i="2" s="1"/>
  <c r="AB182" i="2"/>
  <c r="AO181" i="2"/>
  <c r="AJ181" i="2"/>
  <c r="AK181" i="2" s="1"/>
  <c r="AB181" i="2"/>
  <c r="AO180" i="2"/>
  <c r="AJ180" i="2"/>
  <c r="AK180" i="2" s="1"/>
  <c r="AB180" i="2"/>
  <c r="AO179" i="2"/>
  <c r="AJ179" i="2"/>
  <c r="AK179" i="2" s="1"/>
  <c r="AB179" i="2"/>
  <c r="AO178" i="2"/>
  <c r="AJ178" i="2"/>
  <c r="AK178" i="2" s="1"/>
  <c r="AB178" i="2"/>
  <c r="AO177" i="2"/>
  <c r="AJ177" i="2"/>
  <c r="AK177" i="2" s="1"/>
  <c r="AB177" i="2"/>
  <c r="AO176" i="2"/>
  <c r="AJ176" i="2"/>
  <c r="AK176" i="2" s="1"/>
  <c r="AB176" i="2"/>
  <c r="AO175" i="2"/>
  <c r="AJ175" i="2"/>
  <c r="AK175" i="2" s="1"/>
  <c r="AB175" i="2"/>
  <c r="AO174" i="2"/>
  <c r="AJ174" i="2"/>
  <c r="AK174" i="2" s="1"/>
  <c r="AB174" i="2"/>
  <c r="AO173" i="2"/>
  <c r="AJ173" i="2"/>
  <c r="AK173" i="2" s="1"/>
  <c r="AB173" i="2"/>
  <c r="AO172" i="2"/>
  <c r="AJ172" i="2"/>
  <c r="AK172" i="2" s="1"/>
  <c r="AB172" i="2"/>
  <c r="AO171" i="2"/>
  <c r="AJ171" i="2"/>
  <c r="AK171" i="2" s="1"/>
  <c r="AB171" i="2"/>
  <c r="AO170" i="2"/>
  <c r="AJ170" i="2"/>
  <c r="AK170" i="2" s="1"/>
  <c r="AB170" i="2"/>
  <c r="AO169" i="2"/>
  <c r="AJ169" i="2"/>
  <c r="AK169" i="2" s="1"/>
  <c r="AB169" i="2"/>
  <c r="AO168" i="2"/>
  <c r="AJ168" i="2"/>
  <c r="AK168" i="2" s="1"/>
  <c r="AB168" i="2"/>
  <c r="AO167" i="2"/>
  <c r="AJ167" i="2"/>
  <c r="AK167" i="2" s="1"/>
  <c r="AB167" i="2"/>
  <c r="AO166" i="2"/>
  <c r="AJ166" i="2"/>
  <c r="AK166" i="2" s="1"/>
  <c r="AB166" i="2"/>
  <c r="AO165" i="2"/>
  <c r="AJ165" i="2"/>
  <c r="AK165" i="2" s="1"/>
  <c r="AB165" i="2"/>
  <c r="AO164" i="2"/>
  <c r="AJ164" i="2"/>
  <c r="AK164" i="2" s="1"/>
  <c r="AB164" i="2"/>
  <c r="AO163" i="2"/>
  <c r="AJ163" i="2"/>
  <c r="AK163" i="2" s="1"/>
  <c r="AB163" i="2"/>
  <c r="AO162" i="2"/>
  <c r="AJ162" i="2"/>
  <c r="AK162" i="2" s="1"/>
  <c r="AB162" i="2"/>
  <c r="AO161" i="2"/>
  <c r="AJ161" i="2"/>
  <c r="AK161" i="2" s="1"/>
  <c r="AB161" i="2"/>
  <c r="AO160" i="2"/>
  <c r="AJ160" i="2"/>
  <c r="AK160" i="2" s="1"/>
  <c r="AB160" i="2"/>
  <c r="AO159" i="2"/>
  <c r="AJ159" i="2"/>
  <c r="AK159" i="2" s="1"/>
  <c r="AB159" i="2"/>
  <c r="AO158" i="2"/>
  <c r="AJ158" i="2"/>
  <c r="AK158" i="2" s="1"/>
  <c r="AB158" i="2"/>
  <c r="AO157" i="2"/>
  <c r="AJ157" i="2"/>
  <c r="AK157" i="2" s="1"/>
  <c r="AB157" i="2"/>
  <c r="AO156" i="2"/>
  <c r="AJ156" i="2"/>
  <c r="AK156" i="2" s="1"/>
  <c r="AB156" i="2"/>
  <c r="AO155" i="2"/>
  <c r="AJ155" i="2"/>
  <c r="AK155" i="2" s="1"/>
  <c r="AB155" i="2"/>
  <c r="AO154" i="2"/>
  <c r="AJ154" i="2"/>
  <c r="AK154" i="2" s="1"/>
  <c r="AB154" i="2"/>
  <c r="AO153" i="2"/>
  <c r="AJ153" i="2"/>
  <c r="AK153" i="2" s="1"/>
  <c r="AB153" i="2"/>
  <c r="AO152" i="2"/>
  <c r="AJ152" i="2"/>
  <c r="AK152" i="2" s="1"/>
  <c r="AB152" i="2"/>
  <c r="AO151" i="2"/>
  <c r="AJ151" i="2"/>
  <c r="AK151" i="2" s="1"/>
  <c r="AB151" i="2"/>
  <c r="AO150" i="2"/>
  <c r="AJ150" i="2"/>
  <c r="AK150" i="2" s="1"/>
  <c r="AB150" i="2"/>
  <c r="AO149" i="2"/>
  <c r="AJ149" i="2"/>
  <c r="AK149" i="2" s="1"/>
  <c r="AB149" i="2"/>
  <c r="AO148" i="2"/>
  <c r="AJ148" i="2"/>
  <c r="AK148" i="2" s="1"/>
  <c r="AB148" i="2"/>
  <c r="AO147" i="2"/>
  <c r="AJ147" i="2"/>
  <c r="AK147" i="2" s="1"/>
  <c r="AB147" i="2"/>
  <c r="AO146" i="2"/>
  <c r="AJ146" i="2"/>
  <c r="AK146" i="2" s="1"/>
  <c r="AB146" i="2"/>
  <c r="AO145" i="2"/>
  <c r="AJ145" i="2"/>
  <c r="AK145" i="2" s="1"/>
  <c r="AB145" i="2"/>
  <c r="AO144" i="2"/>
  <c r="AJ144" i="2"/>
  <c r="AK144" i="2" s="1"/>
  <c r="AB144" i="2"/>
  <c r="AO143" i="2"/>
  <c r="AJ143" i="2"/>
  <c r="AK143" i="2" s="1"/>
  <c r="AB143" i="2"/>
  <c r="AO142" i="2"/>
  <c r="AJ142" i="2"/>
  <c r="AK142" i="2" s="1"/>
  <c r="AB142" i="2"/>
  <c r="AO141" i="2"/>
  <c r="AJ141" i="2"/>
  <c r="AK141" i="2" s="1"/>
  <c r="AB141" i="2"/>
  <c r="AO140" i="2"/>
  <c r="AJ140" i="2"/>
  <c r="AK140" i="2" s="1"/>
  <c r="AB140" i="2"/>
  <c r="AO139" i="2"/>
  <c r="AJ139" i="2"/>
  <c r="AK139" i="2" s="1"/>
  <c r="AB139" i="2"/>
  <c r="AO138" i="2"/>
  <c r="AJ138" i="2"/>
  <c r="AK138" i="2" s="1"/>
  <c r="AB138" i="2"/>
  <c r="AO137" i="2"/>
  <c r="AJ137" i="2"/>
  <c r="AK137" i="2" s="1"/>
  <c r="AB137" i="2"/>
  <c r="AO136" i="2"/>
  <c r="AJ136" i="2"/>
  <c r="AK136" i="2" s="1"/>
  <c r="AB136" i="2"/>
  <c r="AO135" i="2"/>
  <c r="AJ135" i="2"/>
  <c r="AK135" i="2" s="1"/>
  <c r="AB135" i="2"/>
  <c r="AO134" i="2"/>
  <c r="AJ134" i="2"/>
  <c r="AK134" i="2" s="1"/>
  <c r="AB134" i="2"/>
  <c r="AO133" i="2"/>
  <c r="AJ133" i="2"/>
  <c r="AK133" i="2" s="1"/>
  <c r="AB133" i="2"/>
  <c r="AO132" i="2"/>
  <c r="AJ132" i="2"/>
  <c r="AK132" i="2" s="1"/>
  <c r="AB132" i="2"/>
  <c r="AO131" i="2"/>
  <c r="AJ131" i="2"/>
  <c r="AK131" i="2" s="1"/>
  <c r="AB131" i="2"/>
  <c r="AO130" i="2"/>
  <c r="AJ130" i="2"/>
  <c r="AK130" i="2" s="1"/>
  <c r="AB130" i="2"/>
  <c r="AO129" i="2"/>
  <c r="AJ129" i="2"/>
  <c r="AK129" i="2" s="1"/>
  <c r="AB129" i="2"/>
  <c r="AO128" i="2"/>
  <c r="AJ128" i="2"/>
  <c r="AK128" i="2" s="1"/>
  <c r="AB128" i="2"/>
  <c r="AO127" i="2"/>
  <c r="AJ127" i="2"/>
  <c r="AK127" i="2" s="1"/>
  <c r="AB127" i="2"/>
  <c r="AO126" i="2"/>
  <c r="AJ126" i="2"/>
  <c r="AK126" i="2" s="1"/>
  <c r="AB126" i="2"/>
  <c r="AO125" i="2"/>
  <c r="AJ125" i="2"/>
  <c r="AK125" i="2" s="1"/>
  <c r="AB125" i="2"/>
  <c r="AO124" i="2"/>
  <c r="AJ124" i="2"/>
  <c r="AK124" i="2" s="1"/>
  <c r="AB124" i="2"/>
  <c r="AO123" i="2"/>
  <c r="AJ123" i="2"/>
  <c r="AK123" i="2" s="1"/>
  <c r="AB123" i="2"/>
  <c r="AO122" i="2"/>
  <c r="AJ122" i="2"/>
  <c r="AK122" i="2" s="1"/>
  <c r="AB122" i="2"/>
  <c r="AO121" i="2"/>
  <c r="AJ121" i="2"/>
  <c r="AK121" i="2" s="1"/>
  <c r="AB121" i="2"/>
  <c r="AO120" i="2"/>
  <c r="AJ120" i="2"/>
  <c r="AK120" i="2" s="1"/>
  <c r="AB120" i="2"/>
  <c r="AO119" i="2"/>
  <c r="AJ119" i="2"/>
  <c r="AK119" i="2" s="1"/>
  <c r="AB119" i="2"/>
  <c r="AO118" i="2"/>
  <c r="AJ118" i="2"/>
  <c r="AK118" i="2" s="1"/>
  <c r="AB118" i="2"/>
  <c r="AO117" i="2"/>
  <c r="AJ117" i="2"/>
  <c r="AK117" i="2" s="1"/>
  <c r="AB117" i="2"/>
  <c r="AO116" i="2"/>
  <c r="AJ116" i="2"/>
  <c r="AK116" i="2" s="1"/>
  <c r="AB116" i="2"/>
  <c r="AO115" i="2"/>
  <c r="AJ115" i="2"/>
  <c r="AK115" i="2" s="1"/>
  <c r="AB115" i="2"/>
  <c r="AO114" i="2"/>
  <c r="AJ114" i="2"/>
  <c r="AK114" i="2" s="1"/>
  <c r="AB114" i="2"/>
  <c r="AO113" i="2"/>
  <c r="AJ113" i="2"/>
  <c r="AK113" i="2" s="1"/>
  <c r="AB113" i="2"/>
  <c r="AO112" i="2"/>
  <c r="AJ112" i="2"/>
  <c r="AK112" i="2" s="1"/>
  <c r="AB112" i="2"/>
  <c r="AO111" i="2"/>
  <c r="AJ111" i="2"/>
  <c r="AK111" i="2" s="1"/>
  <c r="AB111" i="2"/>
  <c r="AO107" i="2"/>
  <c r="AJ107" i="2"/>
  <c r="AK107" i="2" s="1"/>
  <c r="AB107" i="2"/>
  <c r="AO106" i="2"/>
  <c r="AJ106" i="2"/>
  <c r="AK106" i="2" s="1"/>
  <c r="AB106" i="2"/>
  <c r="AO110" i="2"/>
  <c r="AJ110" i="2"/>
  <c r="AK110" i="2" s="1"/>
  <c r="AB110" i="2"/>
  <c r="AO105" i="2"/>
  <c r="AJ105" i="2"/>
  <c r="AK105" i="2" s="1"/>
  <c r="AB105" i="2"/>
  <c r="AO103" i="2"/>
  <c r="AJ103" i="2"/>
  <c r="AK103" i="2" s="1"/>
  <c r="AB103" i="2"/>
  <c r="AO104" i="2"/>
  <c r="AJ104" i="2"/>
  <c r="AK104" i="2" s="1"/>
  <c r="AB104" i="2"/>
  <c r="AO102" i="2"/>
  <c r="AJ102" i="2"/>
  <c r="AK102" i="2" s="1"/>
  <c r="AB102" i="2"/>
  <c r="AO101" i="2"/>
  <c r="AJ101" i="2"/>
  <c r="AK101" i="2" s="1"/>
  <c r="AB101" i="2"/>
  <c r="AO100" i="2"/>
  <c r="AJ100" i="2"/>
  <c r="AK100" i="2" s="1"/>
  <c r="AB100" i="2"/>
  <c r="AO98" i="2"/>
  <c r="AJ98" i="2"/>
  <c r="AK98" i="2" s="1"/>
  <c r="AB98" i="2"/>
  <c r="AO90" i="2"/>
  <c r="AJ90" i="2"/>
  <c r="AK90" i="2" s="1"/>
  <c r="AB90" i="2"/>
  <c r="AO89" i="2"/>
  <c r="AJ89" i="2"/>
  <c r="AK89" i="2" s="1"/>
  <c r="AB89" i="2"/>
  <c r="AO88" i="2"/>
  <c r="AJ88" i="2"/>
  <c r="AK88" i="2" s="1"/>
  <c r="AB88" i="2"/>
  <c r="AO86" i="2"/>
  <c r="AJ86" i="2"/>
  <c r="AK86" i="2" s="1"/>
  <c r="AO85" i="2"/>
  <c r="AJ85" i="2"/>
  <c r="AK85" i="2" s="1"/>
  <c r="AB85" i="2"/>
  <c r="AO87" i="2"/>
  <c r="AJ87" i="2"/>
  <c r="AK87" i="2" s="1"/>
  <c r="AB87" i="2"/>
  <c r="AJ84" i="2"/>
  <c r="AK84" i="2" s="1"/>
  <c r="AB84" i="2"/>
  <c r="AO83" i="2"/>
  <c r="AJ83" i="2"/>
  <c r="AK83" i="2" s="1"/>
  <c r="AB83" i="2"/>
  <c r="AO82" i="2"/>
  <c r="AJ82" i="2"/>
  <c r="AK82" i="2" s="1"/>
  <c r="AB82" i="2"/>
  <c r="AO81" i="2"/>
  <c r="AJ81" i="2"/>
  <c r="AK81" i="2" s="1"/>
  <c r="AB81" i="2"/>
  <c r="AJ80" i="2"/>
  <c r="AK80" i="2" s="1"/>
  <c r="AB80" i="2"/>
  <c r="AJ79" i="2"/>
  <c r="AK79" i="2" s="1"/>
  <c r="AB79" i="2"/>
  <c r="AO78" i="2"/>
  <c r="AJ78" i="2"/>
  <c r="AK78" i="2" s="1"/>
  <c r="AB78" i="2"/>
  <c r="AO77" i="2"/>
  <c r="AJ77" i="2"/>
  <c r="AK77" i="2" s="1"/>
  <c r="AB77" i="2"/>
  <c r="AO76" i="2"/>
  <c r="AJ76" i="2"/>
  <c r="AK76" i="2" s="1"/>
  <c r="AB76" i="2"/>
  <c r="AO75" i="2"/>
  <c r="AJ75" i="2"/>
  <c r="AK75" i="2" s="1"/>
  <c r="AB75" i="2"/>
  <c r="AJ74" i="2"/>
  <c r="AK74" i="2" s="1"/>
  <c r="AB74" i="2"/>
  <c r="AO72" i="2"/>
  <c r="AJ72" i="2"/>
  <c r="AK72" i="2" s="1"/>
  <c r="AB72" i="2"/>
  <c r="AO71" i="2"/>
  <c r="AJ71" i="2"/>
  <c r="AK71" i="2" s="1"/>
  <c r="AB71" i="2"/>
  <c r="AO70" i="2"/>
  <c r="AJ70" i="2"/>
  <c r="AK70" i="2" s="1"/>
  <c r="AB70" i="2"/>
  <c r="AO69" i="2"/>
  <c r="AJ69" i="2"/>
  <c r="AK69" i="2" s="1"/>
  <c r="AB69" i="2"/>
  <c r="AO68" i="2"/>
  <c r="AJ68" i="2"/>
  <c r="AK68" i="2" s="1"/>
  <c r="AB68" i="2"/>
  <c r="AO67" i="2"/>
  <c r="AJ67" i="2"/>
  <c r="AK67" i="2" s="1"/>
  <c r="AB67" i="2"/>
  <c r="AO66" i="2"/>
  <c r="AJ66" i="2"/>
  <c r="AK66" i="2" s="1"/>
  <c r="AB66" i="2"/>
  <c r="AO65" i="2"/>
  <c r="AJ65" i="2"/>
  <c r="AK65" i="2" s="1"/>
  <c r="AB65" i="2"/>
  <c r="AO64" i="2"/>
  <c r="AJ64" i="2"/>
  <c r="AK64" i="2" s="1"/>
  <c r="AB64" i="2"/>
  <c r="AO63" i="2"/>
  <c r="AJ63" i="2"/>
  <c r="AK63" i="2" s="1"/>
  <c r="AB63" i="2"/>
  <c r="AO62" i="2"/>
  <c r="AJ62" i="2"/>
  <c r="AK62" i="2" s="1"/>
  <c r="AB62" i="2"/>
  <c r="AO61" i="2"/>
  <c r="AJ61" i="2"/>
  <c r="AK61" i="2" s="1"/>
  <c r="AB61" i="2"/>
  <c r="AO60" i="2"/>
  <c r="AJ60" i="2"/>
  <c r="AK60" i="2" s="1"/>
  <c r="AB60" i="2"/>
  <c r="AO58" i="2"/>
  <c r="AJ58" i="2"/>
  <c r="AK58" i="2" s="1"/>
  <c r="AB58" i="2"/>
  <c r="AJ57" i="2"/>
  <c r="AK57" i="2" s="1"/>
  <c r="AB57" i="2"/>
  <c r="AJ56" i="2"/>
  <c r="AK56" i="2" s="1"/>
  <c r="AB56" i="2"/>
  <c r="AO55" i="2"/>
  <c r="AJ55" i="2"/>
  <c r="AK55" i="2" s="1"/>
  <c r="AB55" i="2"/>
  <c r="AJ54" i="2"/>
  <c r="AK54" i="2" s="1"/>
  <c r="AB54" i="2"/>
  <c r="AJ53" i="2"/>
  <c r="AK53" i="2" s="1"/>
  <c r="AB53" i="2"/>
  <c r="AJ52" i="2"/>
  <c r="AK52" i="2" s="1"/>
  <c r="AB52" i="2"/>
  <c r="AJ51" i="2"/>
  <c r="AK51" i="2" s="1"/>
  <c r="AB51" i="2"/>
  <c r="AJ50" i="2"/>
  <c r="AK50" i="2" s="1"/>
  <c r="AB50" i="2"/>
  <c r="AJ49" i="2"/>
  <c r="AK49" i="2" s="1"/>
  <c r="AB49" i="2"/>
  <c r="AO48" i="2"/>
  <c r="AJ48" i="2"/>
  <c r="AK48" i="2" s="1"/>
  <c r="AB48" i="2"/>
  <c r="AO47" i="2"/>
  <c r="AJ47" i="2"/>
  <c r="AK47" i="2" s="1"/>
  <c r="AB47" i="2"/>
  <c r="AO46" i="2"/>
  <c r="AJ46" i="2"/>
  <c r="AK46" i="2" s="1"/>
  <c r="AB46" i="2"/>
  <c r="AO45" i="2"/>
  <c r="AJ45" i="2"/>
  <c r="AK45" i="2" s="1"/>
  <c r="AB45" i="2"/>
  <c r="AO44" i="2"/>
  <c r="AB44" i="2"/>
  <c r="AO43" i="2"/>
  <c r="AJ43" i="2"/>
  <c r="AK43" i="2" s="1"/>
  <c r="AB43" i="2"/>
  <c r="AO42" i="2"/>
  <c r="AJ42" i="2"/>
  <c r="AK42" i="2" s="1"/>
  <c r="AB42" i="2"/>
  <c r="AO41" i="2"/>
  <c r="AJ41" i="2"/>
  <c r="AK41" i="2" s="1"/>
  <c r="AB41" i="2"/>
  <c r="AO40" i="2"/>
  <c r="AJ40" i="2"/>
  <c r="AK40" i="2" s="1"/>
  <c r="AB40" i="2"/>
  <c r="AO39" i="2"/>
  <c r="AJ39" i="2"/>
  <c r="AK39" i="2" s="1"/>
  <c r="AB39" i="2"/>
  <c r="AO38" i="2"/>
  <c r="AJ38" i="2"/>
  <c r="AK38" i="2" s="1"/>
  <c r="AB38" i="2"/>
  <c r="AO37" i="2"/>
  <c r="AJ37" i="2"/>
  <c r="AK37" i="2" s="1"/>
  <c r="AB37" i="2"/>
  <c r="AO36" i="2"/>
  <c r="AJ36" i="2"/>
  <c r="AK36" i="2" s="1"/>
  <c r="AB36" i="2"/>
  <c r="AO35" i="2"/>
  <c r="AJ35" i="2"/>
  <c r="AK35" i="2" s="1"/>
  <c r="AB35" i="2"/>
  <c r="AO34" i="2"/>
  <c r="AJ34" i="2"/>
  <c r="AK34" i="2" s="1"/>
  <c r="AB34" i="2"/>
  <c r="AO33" i="2"/>
  <c r="AJ33" i="2"/>
  <c r="AK33" i="2" s="1"/>
  <c r="AB33" i="2"/>
  <c r="AO32" i="2"/>
  <c r="AJ32" i="2"/>
  <c r="AK32" i="2" s="1"/>
  <c r="AB32" i="2"/>
  <c r="AO31" i="2"/>
  <c r="AJ31" i="2"/>
  <c r="AK31" i="2" s="1"/>
  <c r="AB31" i="2"/>
  <c r="AO30" i="2"/>
  <c r="AJ30" i="2"/>
  <c r="AK30" i="2" s="1"/>
  <c r="AB30" i="2"/>
  <c r="AO29" i="2"/>
  <c r="AJ29" i="2"/>
  <c r="AK29" i="2" s="1"/>
  <c r="AB29" i="2"/>
  <c r="AO28" i="2"/>
  <c r="AJ28" i="2"/>
  <c r="AK28" i="2" s="1"/>
  <c r="AB28" i="2"/>
  <c r="AO27" i="2"/>
  <c r="AJ27" i="2"/>
  <c r="AK27" i="2" s="1"/>
  <c r="AB27" i="2"/>
  <c r="AO26" i="2"/>
  <c r="AJ26" i="2"/>
  <c r="AK26" i="2" s="1"/>
  <c r="AB26" i="2"/>
  <c r="AO25" i="2"/>
  <c r="AJ25" i="2"/>
  <c r="AK25" i="2" s="1"/>
  <c r="AO24" i="2"/>
  <c r="AJ24" i="2"/>
  <c r="AK24" i="2" s="1"/>
  <c r="AB24" i="2"/>
  <c r="AO23" i="2"/>
  <c r="AJ23" i="2"/>
  <c r="AK23" i="2" s="1"/>
  <c r="AB23" i="2"/>
  <c r="AO22" i="2"/>
  <c r="AJ22" i="2"/>
  <c r="AK22" i="2" s="1"/>
  <c r="AB22" i="2"/>
  <c r="AO21" i="2"/>
  <c r="AJ21" i="2"/>
  <c r="AK21" i="2" s="1"/>
  <c r="AB21" i="2"/>
  <c r="AO20" i="2"/>
  <c r="AJ20" i="2"/>
  <c r="AK20" i="2" s="1"/>
  <c r="AB20" i="2"/>
  <c r="AO19" i="2"/>
  <c r="AJ19" i="2"/>
  <c r="AK19" i="2" s="1"/>
  <c r="AB19" i="2"/>
  <c r="AO18" i="2"/>
  <c r="AJ18" i="2"/>
  <c r="AK18" i="2" s="1"/>
  <c r="AB18" i="2"/>
  <c r="AO17" i="2"/>
  <c r="AJ17" i="2"/>
  <c r="AK17" i="2" s="1"/>
  <c r="AB17" i="2"/>
  <c r="AO16" i="2"/>
  <c r="AJ16" i="2"/>
  <c r="AK16" i="2" s="1"/>
  <c r="AB16" i="2"/>
  <c r="AO15" i="2"/>
  <c r="AJ15" i="2"/>
  <c r="AK15" i="2" s="1"/>
  <c r="AB15" i="2"/>
  <c r="AO14" i="2"/>
  <c r="AJ14" i="2"/>
  <c r="AK14" i="2" s="1"/>
  <c r="AB14" i="2"/>
  <c r="AO13" i="2"/>
  <c r="AJ13" i="2"/>
  <c r="AK13" i="2" s="1"/>
  <c r="AB13" i="2"/>
  <c r="AO12" i="2"/>
  <c r="AJ12" i="2"/>
  <c r="AK12" i="2" s="1"/>
  <c r="AB12" i="2"/>
  <c r="AO11" i="2"/>
  <c r="AJ11" i="2"/>
  <c r="AK11" i="2" s="1"/>
  <c r="AB11" i="2"/>
  <c r="AO10" i="2"/>
  <c r="AJ10" i="2"/>
  <c r="AK10" i="2" s="1"/>
  <c r="AB10" i="2"/>
  <c r="AO9" i="2"/>
  <c r="AJ9" i="2"/>
  <c r="AK9" i="2" s="1"/>
  <c r="AB9" i="2"/>
  <c r="AO8" i="2"/>
  <c r="AJ8" i="2"/>
  <c r="AK8" i="2" s="1"/>
  <c r="AB8" i="2"/>
  <c r="AO7" i="2"/>
  <c r="AJ7" i="2"/>
  <c r="AK7" i="2" s="1"/>
  <c r="AB7" i="2"/>
  <c r="AO6" i="2"/>
  <c r="AJ6" i="2"/>
  <c r="AK6" i="2" s="1"/>
  <c r="Y38" i="1"/>
  <c r="V38" i="1"/>
  <c r="Y36" i="1"/>
  <c r="V36" i="1"/>
  <c r="Y34" i="1"/>
  <c r="V34" i="1"/>
  <c r="Y32" i="1"/>
  <c r="V32" i="1"/>
  <c r="Y30" i="1"/>
  <c r="V30" i="1"/>
  <c r="Y28" i="1"/>
  <c r="V28" i="1"/>
  <c r="AB32" i="1" l="1"/>
  <c r="AB38" i="1"/>
  <c r="I58" i="3"/>
  <c r="I159" i="3" s="1"/>
  <c r="I77" i="3"/>
  <c r="I252" i="3"/>
  <c r="R266" i="3" s="1"/>
  <c r="I254" i="3"/>
  <c r="R268" i="3" s="1"/>
  <c r="I256" i="3"/>
  <c r="R270" i="3" s="1"/>
  <c r="I258" i="3"/>
  <c r="R272" i="3" s="1"/>
  <c r="I56" i="3"/>
  <c r="M270" i="3"/>
  <c r="AB30" i="1"/>
  <c r="L34" i="3"/>
  <c r="AB34" i="1"/>
  <c r="D134" i="3"/>
  <c r="L144" i="3" s="1"/>
  <c r="AB28" i="1"/>
  <c r="AB36" i="1"/>
  <c r="I103" i="3"/>
  <c r="J158" i="3"/>
  <c r="L178" i="3"/>
  <c r="I239" i="3"/>
  <c r="J177" i="3" s="1"/>
  <c r="I54" i="3"/>
  <c r="H307" i="3"/>
  <c r="H331" i="3"/>
  <c r="I331" i="3" s="1"/>
  <c r="I309" i="3"/>
  <c r="H317" i="3"/>
  <c r="H333" i="3"/>
  <c r="I333" i="3" s="1"/>
  <c r="I311" i="3"/>
  <c r="H319" i="3"/>
  <c r="I95" i="3"/>
  <c r="I98" i="3"/>
  <c r="I106" i="3"/>
  <c r="J155" i="3"/>
  <c r="J159" i="3"/>
  <c r="J163" i="3"/>
  <c r="J165" i="3"/>
  <c r="J167" i="3"/>
  <c r="J253" i="3"/>
  <c r="K253" i="3" s="1"/>
  <c r="J255" i="3"/>
  <c r="K255" i="3" s="1"/>
  <c r="J257" i="3"/>
  <c r="K257" i="3" s="1"/>
  <c r="I108" i="3"/>
  <c r="I104" i="3"/>
  <c r="I96" i="3"/>
  <c r="I105" i="3"/>
  <c r="I97" i="3"/>
  <c r="I157" i="3"/>
  <c r="J156" i="3"/>
  <c r="I41" i="3"/>
  <c r="J36" i="3" s="1"/>
  <c r="H308" i="3"/>
  <c r="I55" i="3"/>
  <c r="H318" i="3"/>
  <c r="H332" i="3"/>
  <c r="I332" i="3" s="1"/>
  <c r="I310" i="3"/>
  <c r="I94" i="3"/>
  <c r="I99" i="3"/>
  <c r="I107" i="3"/>
  <c r="J157" i="3"/>
  <c r="J162" i="3"/>
  <c r="J164" i="3"/>
  <c r="J166" i="3"/>
  <c r="J202" i="3"/>
  <c r="J252" i="3"/>
  <c r="K252" i="3" s="1"/>
  <c r="J254" i="3"/>
  <c r="K254" i="3" s="1"/>
  <c r="J258" i="3"/>
  <c r="M267" i="3"/>
  <c r="M269" i="3"/>
  <c r="M271" i="3"/>
  <c r="I57" i="3"/>
  <c r="K159" i="3" l="1"/>
  <c r="K258" i="3"/>
  <c r="J225" i="3"/>
  <c r="J232" i="3"/>
  <c r="J236" i="3"/>
  <c r="J197" i="3"/>
  <c r="J201" i="3"/>
  <c r="K256" i="3"/>
  <c r="J234" i="3"/>
  <c r="J228" i="3"/>
  <c r="J193" i="3"/>
  <c r="J238" i="3"/>
  <c r="J222" i="3"/>
  <c r="J190" i="3"/>
  <c r="J224" i="3"/>
  <c r="J194" i="3"/>
  <c r="J226" i="3"/>
  <c r="J218" i="3"/>
  <c r="J186" i="3"/>
  <c r="J233" i="3"/>
  <c r="J213" i="3"/>
  <c r="J217" i="3"/>
  <c r="J185" i="3"/>
  <c r="J214" i="3"/>
  <c r="J209" i="3"/>
  <c r="J182" i="3"/>
  <c r="J230" i="3"/>
  <c r="J206" i="3"/>
  <c r="J210" i="3"/>
  <c r="J181" i="3"/>
  <c r="J198" i="3"/>
  <c r="H261" i="3"/>
  <c r="J237" i="3"/>
  <c r="J221" i="3"/>
  <c r="J189" i="3"/>
  <c r="J229" i="3"/>
  <c r="J205" i="3"/>
  <c r="I158" i="3"/>
  <c r="K158" i="3" s="1"/>
  <c r="K157" i="3"/>
  <c r="H316" i="3"/>
  <c r="H330" i="3"/>
  <c r="I330" i="3" s="1"/>
  <c r="I308" i="3"/>
  <c r="J37" i="3"/>
  <c r="I164" i="3"/>
  <c r="K164" i="3" s="1"/>
  <c r="I166" i="3"/>
  <c r="K166" i="3" s="1"/>
  <c r="H329" i="3"/>
  <c r="I329" i="3" s="1"/>
  <c r="I307" i="3"/>
  <c r="H315" i="3"/>
  <c r="J38" i="3"/>
  <c r="J34" i="3"/>
  <c r="J35" i="3"/>
  <c r="I163" i="3"/>
  <c r="K163" i="3" s="1"/>
  <c r="H339" i="3"/>
  <c r="I339" i="3" s="1"/>
  <c r="I317" i="3"/>
  <c r="I155" i="3"/>
  <c r="K155" i="3" s="1"/>
  <c r="L54" i="3"/>
  <c r="I59" i="3"/>
  <c r="J57" i="3" s="1"/>
  <c r="J40" i="3"/>
  <c r="I167" i="3"/>
  <c r="K167" i="3" s="1"/>
  <c r="I318" i="3"/>
  <c r="H340" i="3"/>
  <c r="I340" i="3" s="1"/>
  <c r="I165" i="3"/>
  <c r="K165" i="3" s="1"/>
  <c r="J160" i="3"/>
  <c r="H341" i="3"/>
  <c r="I341" i="3" s="1"/>
  <c r="I319" i="3"/>
  <c r="I100" i="3"/>
  <c r="J96" i="3" s="1"/>
  <c r="I162" i="3"/>
  <c r="K162" i="3" s="1"/>
  <c r="I156" i="3"/>
  <c r="K156" i="3" s="1"/>
  <c r="J39" i="3"/>
  <c r="J235" i="3"/>
  <c r="J231" i="3"/>
  <c r="J227" i="3"/>
  <c r="J223" i="3"/>
  <c r="J219" i="3"/>
  <c r="J215" i="3"/>
  <c r="J211" i="3"/>
  <c r="J207" i="3"/>
  <c r="J203" i="3"/>
  <c r="J199" i="3"/>
  <c r="J195" i="3"/>
  <c r="J191" i="3"/>
  <c r="J187" i="3"/>
  <c r="J220" i="3"/>
  <c r="J216" i="3"/>
  <c r="J212" i="3"/>
  <c r="J208" i="3"/>
  <c r="J204" i="3"/>
  <c r="J200" i="3"/>
  <c r="J196" i="3"/>
  <c r="J192" i="3"/>
  <c r="J188" i="3"/>
  <c r="J184" i="3"/>
  <c r="J180" i="3"/>
  <c r="J178" i="3"/>
  <c r="J183" i="3"/>
  <c r="J179" i="3"/>
  <c r="I109" i="3"/>
  <c r="J103" i="3" s="1"/>
  <c r="J54" i="3" l="1"/>
  <c r="J55" i="3"/>
  <c r="J94" i="3"/>
  <c r="H337" i="3"/>
  <c r="I337" i="3" s="1"/>
  <c r="I315" i="3"/>
  <c r="J98" i="3"/>
  <c r="I316" i="3"/>
  <c r="H338" i="3"/>
  <c r="I338" i="3" s="1"/>
  <c r="I160" i="3"/>
  <c r="K160" i="3" s="1"/>
  <c r="J95" i="3"/>
  <c r="J107" i="3"/>
  <c r="J104" i="3"/>
  <c r="J106" i="3"/>
  <c r="J108" i="3"/>
  <c r="J105" i="3"/>
  <c r="J97" i="3"/>
  <c r="J99" i="3"/>
  <c r="J56" i="3"/>
  <c r="J58" i="3"/>
</calcChain>
</file>

<file path=xl/sharedStrings.xml><?xml version="1.0" encoding="utf-8"?>
<sst xmlns="http://schemas.openxmlformats.org/spreadsheetml/2006/main" count="1934" uniqueCount="635">
  <si>
    <t>Para acessar as informações basta clicar nos quadros a seguir:</t>
  </si>
  <si>
    <t>Autores |</t>
  </si>
  <si>
    <t>Fábio Alexandre Rosa; Ricardo da Silveira Porto</t>
  </si>
  <si>
    <t>Ano |</t>
  </si>
  <si>
    <t>Colaboração |</t>
  </si>
  <si>
    <t>Anderson Wilfried Dornbusch</t>
  </si>
  <si>
    <t>Versão |</t>
  </si>
  <si>
    <t>Impugnação</t>
  </si>
  <si>
    <t>Ingresso judicial</t>
  </si>
  <si>
    <t>Recurso</t>
  </si>
  <si>
    <t>Itens cancelados</t>
  </si>
  <si>
    <t>Itens desertos/sem proposta</t>
  </si>
  <si>
    <t>Tramitação da fase interna</t>
  </si>
  <si>
    <t>Nº</t>
  </si>
  <si>
    <t>Processo</t>
  </si>
  <si>
    <t>Modalidade</t>
  </si>
  <si>
    <t>Tipo</t>
  </si>
  <si>
    <t>Edital</t>
  </si>
  <si>
    <t>IRP</t>
  </si>
  <si>
    <t>Categoria</t>
  </si>
  <si>
    <t>Objeto</t>
  </si>
  <si>
    <t>Unidade</t>
  </si>
  <si>
    <t>Data do trâmite</t>
  </si>
  <si>
    <t>Movimentação</t>
  </si>
  <si>
    <t>Responsável</t>
  </si>
  <si>
    <t>Valor estimado</t>
  </si>
  <si>
    <t>Qtde de itens 
licitados</t>
  </si>
  <si>
    <t>Grupos/lotes</t>
  </si>
  <si>
    <t>Impugnado</t>
  </si>
  <si>
    <t>Pertinente</t>
  </si>
  <si>
    <t>Houve?</t>
  </si>
  <si>
    <t>Ato judicial?</t>
  </si>
  <si>
    <t>Data de
abertura</t>
  </si>
  <si>
    <t>Horário</t>
  </si>
  <si>
    <t>Solicitado</t>
  </si>
  <si>
    <t>Pertinente2</t>
  </si>
  <si>
    <t>Motivo</t>
  </si>
  <si>
    <t>Retorno de fase</t>
  </si>
  <si>
    <t>Data de homologação</t>
  </si>
  <si>
    <t>Prazo</t>
  </si>
  <si>
    <t>Itens homologados</t>
  </si>
  <si>
    <t>Quantidade</t>
  </si>
  <si>
    <t>Valor</t>
  </si>
  <si>
    <t>Motivo2</t>
  </si>
  <si>
    <t>Quantidade2</t>
  </si>
  <si>
    <t>Valor2</t>
  </si>
  <si>
    <t>Valor adjudicado</t>
  </si>
  <si>
    <t>Economicidade</t>
  </si>
  <si>
    <t>%</t>
  </si>
  <si>
    <t>Status</t>
  </si>
  <si>
    <t>Data de abertura</t>
  </si>
  <si>
    <t>Data de aprovação</t>
  </si>
  <si>
    <t>Tempo</t>
  </si>
  <si>
    <t>Observações</t>
  </si>
  <si>
    <t>063626/2018-17</t>
  </si>
  <si>
    <t>Pregão Elet. - Tradicional</t>
  </si>
  <si>
    <t>TRAD</t>
  </si>
  <si>
    <t>527/2018</t>
  </si>
  <si>
    <t>-</t>
  </si>
  <si>
    <t>Serviço</t>
  </si>
  <si>
    <t>Contratação de serviços de manutenção de centrais telefônicas</t>
  </si>
  <si>
    <t>SETIC</t>
  </si>
  <si>
    <t>Enc. para ajustes</t>
  </si>
  <si>
    <t>Diego Ossanes</t>
  </si>
  <si>
    <t>Devolvido ao requerenete (DPC) para análise quanto aos apontamentos da PF.</t>
  </si>
  <si>
    <t>008802/2019-39</t>
  </si>
  <si>
    <t>Pregão Elet. Conc.</t>
  </si>
  <si>
    <t>MO</t>
  </si>
  <si>
    <t>253/2019</t>
  </si>
  <si>
    <t>Concessão</t>
  </si>
  <si>
    <t>Concessão de espaço para exploração de cafeteria e confeitaria</t>
  </si>
  <si>
    <t>BU</t>
  </si>
  <si>
    <t>Para análise da Procuradoria</t>
  </si>
  <si>
    <t>Mery</t>
  </si>
  <si>
    <t>085080/2019-36</t>
  </si>
  <si>
    <t>Pregão Elet. - SRP</t>
  </si>
  <si>
    <t>SRP</t>
  </si>
  <si>
    <t>059/2020</t>
  </si>
  <si>
    <t>136/2020</t>
  </si>
  <si>
    <t>Contratação de serviços de auxiliar de serviços gerais.</t>
  </si>
  <si>
    <t>CCA</t>
  </si>
  <si>
    <t>Enc. ao DPC para informar a validade da ata</t>
  </si>
  <si>
    <t>Não</t>
  </si>
  <si>
    <t>N/A</t>
  </si>
  <si>
    <t>Sim</t>
  </si>
  <si>
    <t>Planilha e declaração de não visita</t>
  </si>
  <si>
    <t>Finalizado – Consolidado</t>
  </si>
  <si>
    <t>085844/2019-93</t>
  </si>
  <si>
    <t>066/2020</t>
  </si>
  <si>
    <t>Contratação de serviços de manutenção de exaustores para o centro de eventos da UFSC.</t>
  </si>
  <si>
    <t>SECARTE</t>
  </si>
  <si>
    <t>086201/2019-67</t>
  </si>
  <si>
    <t>081/2020</t>
  </si>
  <si>
    <t>042/2020</t>
  </si>
  <si>
    <t xml:space="preserve">Contratação de serviço de medição remota e gestão dos dados do sistema de micromedição de consumo de água. </t>
  </si>
  <si>
    <t>CGA</t>
  </si>
  <si>
    <t>Gerson</t>
  </si>
  <si>
    <t>011286/2020-63</t>
  </si>
  <si>
    <t>092/2020</t>
  </si>
  <si>
    <t>048/2020</t>
  </si>
  <si>
    <t>manutenção preventiva e corretiva e instalação de equipamentos em sistemas de prevenção e combate a incêndios.</t>
  </si>
  <si>
    <t>DMPI</t>
  </si>
  <si>
    <t>052140/2019-34</t>
  </si>
  <si>
    <t>104/2020</t>
  </si>
  <si>
    <t xml:space="preserve">Serviços contínuos de manutenção preventiva e corretiva nos sistemas elétricos de baixa tensão, sistemas hidrossanitários, sistemas de gás GLP, sistemas eletroeletrônicos de segurânca, com fornecimento de mão de obra e possível fornecimento de materiais. </t>
  </si>
  <si>
    <t>Anderson</t>
  </si>
  <si>
    <t>013379/2020-22</t>
  </si>
  <si>
    <t>112/2020</t>
  </si>
  <si>
    <t>Contratação de serviços de apoio logístico, agencimento de cargas e despacho aduaneiro.</t>
  </si>
  <si>
    <t>DCOM</t>
  </si>
  <si>
    <t>Diego Eller</t>
  </si>
  <si>
    <t>085023/2019-57</t>
  </si>
  <si>
    <t>121/2020</t>
  </si>
  <si>
    <t>Contratação de empresa especializada na prestação de serviços de manutenção das áreas verdes</t>
  </si>
  <si>
    <t>PU</t>
  </si>
  <si>
    <t>Enc. ao DPC para emissão de empenho</t>
  </si>
  <si>
    <t>017194/2020-97</t>
  </si>
  <si>
    <t>144/2020</t>
  </si>
  <si>
    <t>Contratação de cuidadores para atendimento a estudantes com deficiência e mobilidade reduzida.</t>
  </si>
  <si>
    <t>SAAD</t>
  </si>
  <si>
    <t>015054/2020-84</t>
  </si>
  <si>
    <t>206/2020</t>
  </si>
  <si>
    <t>Permanente</t>
  </si>
  <si>
    <t>Aquisição de aparelho de medição</t>
  </si>
  <si>
    <t>CBS</t>
  </si>
  <si>
    <t>Enc. ao DCOM para informar a validade da ata</t>
  </si>
  <si>
    <t>Dados proposta comercial</t>
  </si>
  <si>
    <t>Incompatibilidade</t>
  </si>
  <si>
    <t>031910/2020-49</t>
  </si>
  <si>
    <t>241/2020</t>
  </si>
  <si>
    <t>097/2020</t>
  </si>
  <si>
    <t xml:space="preserve">Contratação de serviços de locação de notebooks e tablets. </t>
  </si>
  <si>
    <t>Edital suspenso para ajustes na descrição dos itens</t>
  </si>
  <si>
    <t>028493/2020-57</t>
  </si>
  <si>
    <t>271/2020</t>
  </si>
  <si>
    <t>108/2020</t>
  </si>
  <si>
    <t>Serviços de manutenção preventiva e corretiva e, montagem e desmontagem de divisórias e outros.</t>
  </si>
  <si>
    <t>BNU</t>
  </si>
  <si>
    <t>041189/2020-03</t>
  </si>
  <si>
    <t>RDC</t>
  </si>
  <si>
    <t>007/2020</t>
  </si>
  <si>
    <t>Obra/Projeto</t>
  </si>
  <si>
    <t>Obra da rede de esgotamento sanitário a ser implantada no Setor 01 do Campus Trindade</t>
  </si>
  <si>
    <t>Pregão Fracassado</t>
  </si>
  <si>
    <t>Documentos de aceitação e habilitaçao não estão de acordo com o edital.</t>
  </si>
  <si>
    <t>Finalizado – Fracassado</t>
  </si>
  <si>
    <t>019235/2020-80</t>
  </si>
  <si>
    <t>306/2020</t>
  </si>
  <si>
    <t>127/2020</t>
  </si>
  <si>
    <t>Serviços de gestão de mão de obra para atendimento das necessidades das fortalezas</t>
  </si>
  <si>
    <t>SAT e CCT divergentes</t>
  </si>
  <si>
    <t>039280/2020-51</t>
  </si>
  <si>
    <t>308/2020</t>
  </si>
  <si>
    <t>128/2020</t>
  </si>
  <si>
    <t>Contratação de serviços de recuperação estrutural e impermeabilização nas edificações da UFSC.</t>
  </si>
  <si>
    <t>042222/2020-12</t>
  </si>
  <si>
    <t>MD</t>
  </si>
  <si>
    <t>008/2020</t>
  </si>
  <si>
    <t>Reforma da cobertura do prédio da fitotecnia - CCA301 com área de 452m2.</t>
  </si>
  <si>
    <t>Enc. ao DGO para alocação de recursos</t>
  </si>
  <si>
    <t>Licitante não enviou um dos documentos exigidos para habilitação</t>
  </si>
  <si>
    <t>043568/2020-20</t>
  </si>
  <si>
    <t>009/2020</t>
  </si>
  <si>
    <t>Reforma de sanitários, copas e forro do auditório do prédio da da Reitoria REI01 - Área 550,8m2.</t>
  </si>
  <si>
    <t>GR</t>
  </si>
  <si>
    <t>RDC Fracassado</t>
  </si>
  <si>
    <t>Documentos de habilitação não estavam de acordo com o edital</t>
  </si>
  <si>
    <t>043864/2020-21</t>
  </si>
  <si>
    <t>010/2020</t>
  </si>
  <si>
    <t>Reforma e readequação do conjunto arquitetônico do DAC (Igrejinha, Teatro e casa do Divino) - 849,98m2.</t>
  </si>
  <si>
    <t>Nenhuma empresa atendeu às exigências do Edital - qual. Técnica.</t>
  </si>
  <si>
    <t>030870/2020-18</t>
  </si>
  <si>
    <t>326/2020</t>
  </si>
  <si>
    <t>133/2020</t>
  </si>
  <si>
    <t>Consumo</t>
  </si>
  <si>
    <t>Aquisição de gêneros alimentícios</t>
  </si>
  <si>
    <t>Valor acima / Proposta única inabilitada</t>
  </si>
  <si>
    <t>037421/2020-09</t>
  </si>
  <si>
    <t>327/2020</t>
  </si>
  <si>
    <t>134/2020</t>
  </si>
  <si>
    <t xml:space="preserve">Aquisição de Materiais de Limpeza, Conservação e Higiene </t>
  </si>
  <si>
    <t>CTC</t>
  </si>
  <si>
    <t xml:space="preserve"> -</t>
  </si>
  <si>
    <t>Valores acima do estimado</t>
  </si>
  <si>
    <t>040329/2020-18</t>
  </si>
  <si>
    <t>328/2020</t>
  </si>
  <si>
    <t>135/2020</t>
  </si>
  <si>
    <t>Aquisição de materiais para manutenção dos sistemas de iluminação</t>
  </si>
  <si>
    <t>Propostas não estão de acordo com o edital.</t>
  </si>
  <si>
    <t>036609/2020-21</t>
  </si>
  <si>
    <t>331/2020</t>
  </si>
  <si>
    <t>137/2020</t>
  </si>
  <si>
    <t>Contratação de serviços de portaria para atender as demandas da UFSC.</t>
  </si>
  <si>
    <t>SSI</t>
  </si>
  <si>
    <t>Enc. para homologação</t>
  </si>
  <si>
    <t xml:space="preserve">Desistência </t>
  </si>
  <si>
    <t>048208/2020-14</t>
  </si>
  <si>
    <t>332/2020</t>
  </si>
  <si>
    <t>138/2020</t>
  </si>
  <si>
    <t>Contratação de prestação de serviços para processamento e distribuição de alimentos</t>
  </si>
  <si>
    <t>CA</t>
  </si>
  <si>
    <t>051088/2020-32</t>
  </si>
  <si>
    <t>343/2020</t>
  </si>
  <si>
    <t>001/2021</t>
  </si>
  <si>
    <t>Serviços de decoração para eventos institucionais</t>
  </si>
  <si>
    <t>ARA</t>
  </si>
  <si>
    <t>Nailor</t>
  </si>
  <si>
    <t>037424/2020-34</t>
  </si>
  <si>
    <t>002/2021</t>
  </si>
  <si>
    <t>Aquisição de equipamentos de proteção individual (EPI) e materiais preventivos à Pandemia COVID-19</t>
  </si>
  <si>
    <t>CCS</t>
  </si>
  <si>
    <t>037405/2020-16</t>
  </si>
  <si>
    <t>005/2021</t>
  </si>
  <si>
    <t>003/2021</t>
  </si>
  <si>
    <t>Aquisição de materiais odontológicos para o CCS.</t>
  </si>
  <si>
    <t>037389/2020-53</t>
  </si>
  <si>
    <t>006/2021</t>
  </si>
  <si>
    <t>004/2021</t>
  </si>
  <si>
    <t>Aquisição de ferramentas para atender a UFSC.</t>
  </si>
  <si>
    <t>030890/2020-99</t>
  </si>
  <si>
    <t>007/2021</t>
  </si>
  <si>
    <t>Aquisição de materiais de laboratório - Reagentes (ácidos, corantes e outros).</t>
  </si>
  <si>
    <t>Aguardando para abertura do certame</t>
  </si>
  <si>
    <t>048955/2020-52</t>
  </si>
  <si>
    <t>008/2021</t>
  </si>
  <si>
    <t xml:space="preserve">Aquisição de filamentos de impressora 3D e Webcans </t>
  </si>
  <si>
    <t>030877/2020-30</t>
  </si>
  <si>
    <t>009/2021</t>
  </si>
  <si>
    <t>Aquisição de Materiais de Sinalização Visual e Afins</t>
  </si>
  <si>
    <t>PRODEGESP</t>
  </si>
  <si>
    <t>Valor acima</t>
  </si>
  <si>
    <t>030885/2020-86</t>
  </si>
  <si>
    <t>010/2021</t>
  </si>
  <si>
    <t>Aquisição de Materiais e Equipamentos de Áudio, Vídeo e Foto</t>
  </si>
  <si>
    <t>037410/2020-11</t>
  </si>
  <si>
    <t>011/2021</t>
  </si>
  <si>
    <t>Aquisição de materiais odontológicos</t>
  </si>
  <si>
    <t>Alegação de não cumprimento das especificações do Edital</t>
  </si>
  <si>
    <t>043411/2020-02</t>
  </si>
  <si>
    <t>012/2021</t>
  </si>
  <si>
    <t>Aquisição de materiais de prova exclusivos para vestibular e concursos públicos: cartões resposta e cadernos de folhas oficiais de resposta de redação e de questões discursivas</t>
  </si>
  <si>
    <t>COPERVE</t>
  </si>
  <si>
    <t>046274/2020-50</t>
  </si>
  <si>
    <t>013/2021</t>
  </si>
  <si>
    <t>Aquisição de hortifrutigranjeiro</t>
  </si>
  <si>
    <t>RU</t>
  </si>
  <si>
    <t>049980/2020-53</t>
  </si>
  <si>
    <t>017/2021</t>
  </si>
  <si>
    <t>Aquisição de carnes para o Restaurante Universitário.</t>
  </si>
  <si>
    <t>Contra inabilitação</t>
  </si>
  <si>
    <t>Não foram enviados os documentos exigidos em edital</t>
  </si>
  <si>
    <t>037419/2020-21</t>
  </si>
  <si>
    <t>018/2021</t>
  </si>
  <si>
    <t>014/2021</t>
  </si>
  <si>
    <t>NDI</t>
  </si>
  <si>
    <t>Valor acima / Não aceitou reduzir</t>
  </si>
  <si>
    <t>039351/2020-15</t>
  </si>
  <si>
    <t>026/2021</t>
  </si>
  <si>
    <t>015/2021</t>
  </si>
  <si>
    <t>Aquisição/impressão de livros para a editora UFSC.</t>
  </si>
  <si>
    <t>EDUFSC</t>
  </si>
  <si>
    <t>Ajustes nas especificações.</t>
  </si>
  <si>
    <t>045875/2020-45</t>
  </si>
  <si>
    <t>028/2021</t>
  </si>
  <si>
    <t>Aquisição de material bibliográfico.</t>
  </si>
  <si>
    <t>003611/2021-03</t>
  </si>
  <si>
    <t>041/2021</t>
  </si>
  <si>
    <t>016/2021</t>
  </si>
  <si>
    <t>Contratação de licenças microsoft RDS CAL per Devise para a UFSC.</t>
  </si>
  <si>
    <t>004917/2021-79</t>
  </si>
  <si>
    <t>048/2021</t>
  </si>
  <si>
    <t>Cessão de área física da UFSC de 11,40m para exploração de reprografia no HU.</t>
  </si>
  <si>
    <t>DPC</t>
  </si>
  <si>
    <t>009959/2021-04</t>
  </si>
  <si>
    <t>059/2021</t>
  </si>
  <si>
    <t xml:space="preserve">Cessão de área física da UFSC de 33m para exploração de Lanchonete. </t>
  </si>
  <si>
    <t>010575/2021-26</t>
  </si>
  <si>
    <t>064/2021</t>
  </si>
  <si>
    <t>Cessão de área física da UFSC de 23,58m para exploração de lanchonete.</t>
  </si>
  <si>
    <t>CDS</t>
  </si>
  <si>
    <t>011266/2021-73</t>
  </si>
  <si>
    <t>065/2021</t>
  </si>
  <si>
    <t>Cessão de área física da UFSC de 13,72m para exploração de reprografia no HU.</t>
  </si>
  <si>
    <t>007149/2021-13</t>
  </si>
  <si>
    <t>066/2021</t>
  </si>
  <si>
    <t>Contratação de serviços de carga e descarga - Dedicação exclusiva de mão de obra.</t>
  </si>
  <si>
    <t>JOI</t>
  </si>
  <si>
    <t>051347/2020-25</t>
  </si>
  <si>
    <t>069/2021</t>
  </si>
  <si>
    <t xml:space="preserve">Contratação de serviços de preparo e distribuição de refeições. </t>
  </si>
  <si>
    <t>005472/2021-44</t>
  </si>
  <si>
    <t>072/2021</t>
  </si>
  <si>
    <t>019/2021</t>
  </si>
  <si>
    <t xml:space="preserve">Aquisição de material de refrigeração. </t>
  </si>
  <si>
    <t>013010/2021-09</t>
  </si>
  <si>
    <t>079/2021</t>
  </si>
  <si>
    <t>020/2021</t>
  </si>
  <si>
    <t xml:space="preserve">Contratação de serviços de manutenção dos equipamentos gráficos digitais. </t>
  </si>
  <si>
    <t>IU</t>
  </si>
  <si>
    <t>051303/2020-03</t>
  </si>
  <si>
    <t>080/2021</t>
  </si>
  <si>
    <t>021/2021</t>
  </si>
  <si>
    <t>Contratação de serviços de coleta, transporte e destinação final de resíduos volumosos e de construção</t>
  </si>
  <si>
    <t>010740/2021-40</t>
  </si>
  <si>
    <t>082/2021</t>
  </si>
  <si>
    <t>022/2021</t>
  </si>
  <si>
    <t xml:space="preserve">Aquisição de materiais de consumo e de laboratório. </t>
  </si>
  <si>
    <t>014690/2021-70</t>
  </si>
  <si>
    <t>087/2021</t>
  </si>
  <si>
    <t xml:space="preserve">Cessão de área física de 65,89m para exploração de serviços odontológicos. </t>
  </si>
  <si>
    <t>005479/2021-66</t>
  </si>
  <si>
    <t>088/2021</t>
  </si>
  <si>
    <t>024/2021</t>
  </si>
  <si>
    <t xml:space="preserve">Aquisição de materiais veterinários. </t>
  </si>
  <si>
    <t>010215/2021-24</t>
  </si>
  <si>
    <t>089/2021</t>
  </si>
  <si>
    <t>025/2021</t>
  </si>
  <si>
    <t xml:space="preserve">Aquisição de embarcações de madeira. </t>
  </si>
  <si>
    <t>Pregão Deserto</t>
  </si>
  <si>
    <t>Finalizado – Deserto</t>
  </si>
  <si>
    <t>010889/2021-29</t>
  </si>
  <si>
    <t>090/2021</t>
  </si>
  <si>
    <t xml:space="preserve">Cessão de área física de 105,22m para exploração da atividade de lanchonete. </t>
  </si>
  <si>
    <t>CCE</t>
  </si>
  <si>
    <t>014170/2021-67</t>
  </si>
  <si>
    <t>092/2021</t>
  </si>
  <si>
    <t>Aquisição de carga de gás (GLP)</t>
  </si>
  <si>
    <t>005476/2021-22</t>
  </si>
  <si>
    <t>093/2021</t>
  </si>
  <si>
    <t>027/2021</t>
  </si>
  <si>
    <t>valor acima do estimado</t>
  </si>
  <si>
    <t>005470/2021-55</t>
  </si>
  <si>
    <t>094/2021</t>
  </si>
  <si>
    <t xml:space="preserve">Aquisição de materiais de alvenaria. </t>
  </si>
  <si>
    <t>Não foi enviado Recurso</t>
  </si>
  <si>
    <t>044751/2020-42</t>
  </si>
  <si>
    <t>097/2021</t>
  </si>
  <si>
    <t>029/2021</t>
  </si>
  <si>
    <t xml:space="preserve">Aquisição de material de consumo para os setores da Prefeitura Universitária. </t>
  </si>
  <si>
    <t>Em andamento</t>
  </si>
  <si>
    <t>014604/2021-29</t>
  </si>
  <si>
    <t>102/2021</t>
  </si>
  <si>
    <t>030/2021</t>
  </si>
  <si>
    <t xml:space="preserve">Contratação de serviços de manutenção nas janelas, portas e vidros temperados. </t>
  </si>
  <si>
    <t>018251/2021-36</t>
  </si>
  <si>
    <t>108/2021</t>
  </si>
  <si>
    <t>031/2021</t>
  </si>
  <si>
    <t>Contratação de serviços de comunicação de dados, na forma de instalação, manutenção e operação de circuito permanente de dados com vazão assegurada integrando as unidades da UFSC e os Campi de Araranguá e Blumenau.</t>
  </si>
  <si>
    <t>017540/2021-18</t>
  </si>
  <si>
    <t>109/2021</t>
  </si>
  <si>
    <t>032/2021</t>
  </si>
  <si>
    <t xml:space="preserve">Aquisição de cadernos exclusivos para provas de vestibular e concursos. </t>
  </si>
  <si>
    <t>006283/2021-99</t>
  </si>
  <si>
    <t>111/2021</t>
  </si>
  <si>
    <t>033/2021</t>
  </si>
  <si>
    <t>Aquisição de soluções em TIC (Computadores/notebooks/monitores e tablets).</t>
  </si>
  <si>
    <t>005463/2021-53</t>
  </si>
  <si>
    <t>112/2021</t>
  </si>
  <si>
    <t>034/2021</t>
  </si>
  <si>
    <t>Aquisição de materiais hidráulicos.</t>
  </si>
  <si>
    <t>017477/2021-10</t>
  </si>
  <si>
    <t>113/2021</t>
  </si>
  <si>
    <t>035/2021</t>
  </si>
  <si>
    <t>Aquisição de materiais elétricos.</t>
  </si>
  <si>
    <t>018659/2021-16</t>
  </si>
  <si>
    <t>114/2021</t>
  </si>
  <si>
    <t>036/2021</t>
  </si>
  <si>
    <t xml:space="preserve">Contratação de serviços para higienização de rouparia para atender o C.A e o N.D.I. </t>
  </si>
  <si>
    <t>019385/2021-74</t>
  </si>
  <si>
    <t>125/2021</t>
  </si>
  <si>
    <t>037/2021</t>
  </si>
  <si>
    <t xml:space="preserve">Contratação do fornecimento de buffet para os alunos/servidores. </t>
  </si>
  <si>
    <t>012311/2021-15</t>
  </si>
  <si>
    <t>126/2021</t>
  </si>
  <si>
    <t>038/2021</t>
  </si>
  <si>
    <t xml:space="preserve">Aquisição de máquinas e equipamentos gráficos. </t>
  </si>
  <si>
    <t>021870/2021-16</t>
  </si>
  <si>
    <t>135/2021</t>
  </si>
  <si>
    <t>039/2021</t>
  </si>
  <si>
    <t>Aquisição de gêneros não perecíveis.</t>
  </si>
  <si>
    <t>012218/2021-01</t>
  </si>
  <si>
    <t>136/2021</t>
  </si>
  <si>
    <t>040/2021</t>
  </si>
  <si>
    <t xml:space="preserve">Aquisição de materiais de cama, mesa e banho. </t>
  </si>
  <si>
    <t>013190/2021-11</t>
  </si>
  <si>
    <t xml:space="preserve">Aquisição de piano de cauda. </t>
  </si>
  <si>
    <t>Tabela Dinâmica - Analítica - 2018</t>
  </si>
  <si>
    <t>Cont.Núm - Tipo</t>
  </si>
  <si>
    <t>Rótulos de coluna</t>
  </si>
  <si>
    <t>Rótulos de linha</t>
  </si>
  <si>
    <t>(em branco)</t>
  </si>
  <si>
    <t>Total geral</t>
  </si>
  <si>
    <t>Ano</t>
  </si>
  <si>
    <t>Processos</t>
  </si>
  <si>
    <t>Processo em:</t>
  </si>
  <si>
    <t>Total</t>
  </si>
  <si>
    <t>Percentual</t>
  </si>
  <si>
    <t>1º</t>
  </si>
  <si>
    <t>Total:</t>
  </si>
  <si>
    <t>Identificado como:</t>
  </si>
  <si>
    <t>Itens Licitados</t>
  </si>
  <si>
    <t>Itens Cancelados</t>
  </si>
  <si>
    <t>Percentual de Efetividade</t>
  </si>
  <si>
    <t>Classificado como:</t>
  </si>
  <si>
    <t>Total / Percentual</t>
  </si>
  <si>
    <t>Valor Estimado</t>
  </si>
  <si>
    <t>Valor Adjudicado</t>
  </si>
  <si>
    <t>Comparativo na Escala de Economicidade | 2016 à 2020</t>
  </si>
  <si>
    <t>Observação |</t>
  </si>
  <si>
    <t>Em 2016 a economicidade foi apurada aplicando a fórmula direta (valores estimados x valores homologados), a partir de 2017, o cálculo baseou-se na mesma fórmula, porém, desconsiderando os valores dos itens cancelados/fracassados/desertos.</t>
  </si>
  <si>
    <t>Os prazos compreendidos neste indicador consistem no eixo de atuação do DPL, ou seja, desde a publicação da data de abertura do certame até sua consolidação com a publicação do resultado homologado.</t>
  </si>
  <si>
    <t>Soma Prazo</t>
  </si>
  <si>
    <t>Média</t>
  </si>
  <si>
    <t>Pregoeiro</t>
  </si>
  <si>
    <t>Comparativo de  Atuação dos Responsáveis</t>
  </si>
  <si>
    <t>Demanda Judicial</t>
  </si>
  <si>
    <t>Total de Processos</t>
  </si>
  <si>
    <t>Processos com Demanda Judicial</t>
  </si>
  <si>
    <t>Ato Judicial</t>
  </si>
  <si>
    <t>Deferido</t>
  </si>
  <si>
    <t>Indeferido</t>
  </si>
  <si>
    <t>Impugnações por Modalidade</t>
  </si>
  <si>
    <t>Total de Impugnações</t>
  </si>
  <si>
    <t>Impugnações Pertinentes</t>
  </si>
  <si>
    <t>Total de Impugnações Pertinentes</t>
  </si>
  <si>
    <t>Recurso por Modalidade</t>
  </si>
  <si>
    <t>Total de Recursos</t>
  </si>
  <si>
    <t>Recursos Pertinentes</t>
  </si>
  <si>
    <t>Total de Recursos Pertinentes</t>
  </si>
  <si>
    <t>MODALIDADE</t>
  </si>
  <si>
    <t>TIPO</t>
  </si>
  <si>
    <t>CATEGORIA</t>
  </si>
  <si>
    <t>UNIDADE</t>
  </si>
  <si>
    <t>RESPONSÁVEL</t>
  </si>
  <si>
    <t>STATUS</t>
  </si>
  <si>
    <t>MOVIMENTAÇÃO</t>
  </si>
  <si>
    <t>HORÁRIO</t>
  </si>
  <si>
    <t>Leilão</t>
  </si>
  <si>
    <t>Alienação</t>
  </si>
  <si>
    <t>AGECOM</t>
  </si>
  <si>
    <t>Adriano</t>
  </si>
  <si>
    <t>Aguardando assinatura da ata</t>
  </si>
  <si>
    <t>Finalizado – Arquivado</t>
  </si>
  <si>
    <t>Aguardando assinatura da portaria</t>
  </si>
  <si>
    <t>AUDIN</t>
  </si>
  <si>
    <t>Finalizado – Cancelado</t>
  </si>
  <si>
    <t>BIC</t>
  </si>
  <si>
    <t xml:space="preserve">Arquivado </t>
  </si>
  <si>
    <t>Arquivado pelo requerente</t>
  </si>
  <si>
    <t>João (Bnu)</t>
  </si>
  <si>
    <t>Finalizado – Revogado</t>
  </si>
  <si>
    <t>Certame revogado</t>
  </si>
  <si>
    <t>Finalizado – Transportado</t>
  </si>
  <si>
    <t>Em prazo recursal</t>
  </si>
  <si>
    <t>Ricardo</t>
  </si>
  <si>
    <t>Enc. a Proad - Atestado conformidade</t>
  </si>
  <si>
    <t>CCB</t>
  </si>
  <si>
    <t>Enc. a Proad - Ratificar parecer</t>
  </si>
  <si>
    <t>CCJ</t>
  </si>
  <si>
    <t>Enc. ao DCOM para emissão de empenho</t>
  </si>
  <si>
    <t>CED</t>
  </si>
  <si>
    <t>CFH</t>
  </si>
  <si>
    <t>Enc. ao DPC para emissão do contrato</t>
  </si>
  <si>
    <t>CFM</t>
  </si>
  <si>
    <t>Enc. para análise do responsável</t>
  </si>
  <si>
    <t>CSE</t>
  </si>
  <si>
    <t>Para conferência da minuta do edital</t>
  </si>
  <si>
    <t>DAE</t>
  </si>
  <si>
    <t>Para emissão da minuta de edital</t>
  </si>
  <si>
    <t>Para emissão de portaria</t>
  </si>
  <si>
    <t>DCF</t>
  </si>
  <si>
    <t>Para publicação de edital</t>
  </si>
  <si>
    <t>DFO</t>
  </si>
  <si>
    <t>Para agendamento do certame</t>
  </si>
  <si>
    <t>DGP</t>
  </si>
  <si>
    <t>Pregão Deserto - Enc. para republicação de edital</t>
  </si>
  <si>
    <t>DPAE</t>
  </si>
  <si>
    <t>Pregão Fracassado - Enc. para republicação de edital</t>
  </si>
  <si>
    <t>DPGI</t>
  </si>
  <si>
    <t>RDC Deserto</t>
  </si>
  <si>
    <t>EDITORA</t>
  </si>
  <si>
    <t>Reabertura do certame</t>
  </si>
  <si>
    <t>MARQUE</t>
  </si>
  <si>
    <t>NUMA</t>
  </si>
  <si>
    <t>OUV</t>
  </si>
  <si>
    <t>PRAE</t>
  </si>
  <si>
    <t>PROAD</t>
  </si>
  <si>
    <t>PROEX</t>
  </si>
  <si>
    <t>PROGRAD</t>
  </si>
  <si>
    <t>PROPESQ</t>
  </si>
  <si>
    <t>PROPG</t>
  </si>
  <si>
    <t>REITORIA</t>
  </si>
  <si>
    <t>SEAD</t>
  </si>
  <si>
    <t>SEAI</t>
  </si>
  <si>
    <t>SEOMA</t>
  </si>
  <si>
    <t>SEPLAN</t>
  </si>
  <si>
    <t>SESP</t>
  </si>
  <si>
    <t>SINOVA</t>
  </si>
  <si>
    <t>SINTER</t>
  </si>
  <si>
    <t>SO</t>
  </si>
  <si>
    <t>SODC</t>
  </si>
  <si>
    <t>TVUFSC</t>
  </si>
  <si>
    <t>140/2021</t>
  </si>
  <si>
    <t>Produto não existia no mercado com as dimensões informadas.</t>
  </si>
  <si>
    <t>habilitação</t>
  </si>
  <si>
    <t>010469/2021-42</t>
  </si>
  <si>
    <t>025187/2021-40</t>
  </si>
  <si>
    <t xml:space="preserve">Contratação de serviços de chaveiro. </t>
  </si>
  <si>
    <t>146/2021</t>
  </si>
  <si>
    <t>148/2021</t>
  </si>
  <si>
    <t>042/2021</t>
  </si>
  <si>
    <t>043/2021</t>
  </si>
  <si>
    <t>024661/2021-16</t>
  </si>
  <si>
    <t>024467/2021-31</t>
  </si>
  <si>
    <t xml:space="preserve">Aquisição de equipamentos de proteção individual e coletivo para o DMPI/SEOMA. </t>
  </si>
  <si>
    <t>012298/2021-96</t>
  </si>
  <si>
    <t xml:space="preserve">Aquisição de aparelhos, equipamentos e utensílios médico-hospitalares, odontológicos e laboratoriais. </t>
  </si>
  <si>
    <t>155/2021</t>
  </si>
  <si>
    <t>156/2021</t>
  </si>
  <si>
    <t>157/2021</t>
  </si>
  <si>
    <t>044/2021</t>
  </si>
  <si>
    <t>045/2021</t>
  </si>
  <si>
    <t>046/2021</t>
  </si>
  <si>
    <t>Fornecedor não enviou a ficha técnica e valor acima do estimado.</t>
  </si>
  <si>
    <t>julgamento</t>
  </si>
  <si>
    <t>Alegação de não cumprimento aos ditames do Edital.</t>
  </si>
  <si>
    <t>027390/2021-51</t>
  </si>
  <si>
    <t>Execução de infraestruturas para funcionamento de protótipos de fábrica de processamento de alimentos abrigado em contêiner - Fábrica Zero Carbono com 29,78m.</t>
  </si>
  <si>
    <t>019274/2021-68</t>
  </si>
  <si>
    <t>Aquisição de equipamentos de proteção, segurança e socorro.</t>
  </si>
  <si>
    <t>012315/2021-95</t>
  </si>
  <si>
    <t>Aquisição de mobiliários em geral.</t>
  </si>
  <si>
    <t>012215/2021-69</t>
  </si>
  <si>
    <t xml:space="preserve">Aquisição de materiais de acondicionamentos e embalagens. </t>
  </si>
  <si>
    <t>159/2021</t>
  </si>
  <si>
    <t>160/2021</t>
  </si>
  <si>
    <t>047/2021</t>
  </si>
  <si>
    <t>012230/2021-15</t>
  </si>
  <si>
    <t>Aquisição de materiais elétricos (cabos/extensões/lâmpadas/plugues e similares).</t>
  </si>
  <si>
    <t>162/2021</t>
  </si>
  <si>
    <t>049/2021</t>
  </si>
  <si>
    <t>019296/2021-28</t>
  </si>
  <si>
    <t xml:space="preserve">Aquisição de utensílios para laboratório. </t>
  </si>
  <si>
    <t>050/2021</t>
  </si>
  <si>
    <t>051/2021</t>
  </si>
  <si>
    <t>166/2021</t>
  </si>
  <si>
    <t>167/2021</t>
  </si>
  <si>
    <t>029722/2021-31</t>
  </si>
  <si>
    <t>Reforma da cobertura do bloco redondo (CFM01) do CCE.</t>
  </si>
  <si>
    <t>Conta cancelamento do item</t>
  </si>
  <si>
    <t>Equipe não se manifestou / descritivo insuficiente</t>
  </si>
  <si>
    <t>012241/2021-97</t>
  </si>
  <si>
    <t>Aquisição de aparelhos de medição.</t>
  </si>
  <si>
    <t>012294/2021-16</t>
  </si>
  <si>
    <t>170/2021</t>
  </si>
  <si>
    <t>171/2021</t>
  </si>
  <si>
    <t>052/2021</t>
  </si>
  <si>
    <t>053/2021</t>
  </si>
  <si>
    <t>028262/2021-24</t>
  </si>
  <si>
    <t>Contratação de serviços continuados de alimentação e nutrição.</t>
  </si>
  <si>
    <t>012301/2021-71</t>
  </si>
  <si>
    <t>019299/2021-61</t>
  </si>
  <si>
    <t>Aquisição de materiais elétricos (adaptadores/bateriais/fontes/nobreak/sensores e similares)</t>
  </si>
  <si>
    <t>Aquisição de utensílios para laboratórios (filtros/ponteiras/tesouras/tubos e similares).</t>
  </si>
  <si>
    <t>012235/2021-30</t>
  </si>
  <si>
    <t>175/2021</t>
  </si>
  <si>
    <t>176/2021</t>
  </si>
  <si>
    <t>174/2021</t>
  </si>
  <si>
    <t>054/2021</t>
  </si>
  <si>
    <t>055/2021</t>
  </si>
  <si>
    <t>056/2021</t>
  </si>
  <si>
    <t>Item ofertado não está de acordo com o edital e valor acima do estimado</t>
  </si>
  <si>
    <t>012305/2021-50</t>
  </si>
  <si>
    <t>Aquisição de utensílios domésticos, aparelhos de ar condicionado e interligação evporadora-condensadora</t>
  </si>
  <si>
    <t>177/2021</t>
  </si>
  <si>
    <t>057/2021</t>
  </si>
  <si>
    <t>Valor acima / Não responderam questionamentos técnicos</t>
  </si>
  <si>
    <t>012324/2021-86</t>
  </si>
  <si>
    <t>Aquisição de mobiliários em geral (bancos/banquetas/cadeiras/carteiras/mesas e outros)</t>
  </si>
  <si>
    <t>030474/2021-71</t>
  </si>
  <si>
    <t xml:space="preserve">Aquisição de carimbos e correlatos. </t>
  </si>
  <si>
    <t>178/2021</t>
  </si>
  <si>
    <t>179/2021</t>
  </si>
  <si>
    <t>058/2021</t>
  </si>
  <si>
    <t>060/2021</t>
  </si>
  <si>
    <t>182/2021</t>
  </si>
  <si>
    <t>025423/2021-28</t>
  </si>
  <si>
    <t>Contratação de serviços de fornecimento de refeições (Buffet) c/ concessão onerosa.</t>
  </si>
  <si>
    <t>183/2021</t>
  </si>
  <si>
    <t>019307/2021-70</t>
  </si>
  <si>
    <t xml:space="preserve">Aquisição de utensílios para laboratórios. </t>
  </si>
  <si>
    <t>019303/2021-91</t>
  </si>
  <si>
    <t>184/2021</t>
  </si>
  <si>
    <t>185/2021</t>
  </si>
  <si>
    <t>061/2021</t>
  </si>
  <si>
    <t>062/2021</t>
  </si>
  <si>
    <t>063/2021</t>
  </si>
  <si>
    <t>019316/2021-61</t>
  </si>
  <si>
    <t xml:space="preserve">Aquisição de gases medicinais e industriais. </t>
  </si>
  <si>
    <t>027443/2021-33</t>
  </si>
  <si>
    <t xml:space="preserve">Aquisição de edição e impressão de tiragens de livros de docentes do PROFLETRAS. </t>
  </si>
  <si>
    <t>019270/2021-80</t>
  </si>
  <si>
    <t xml:space="preserve">Aquisição de equipamentos de proteção individual. </t>
  </si>
  <si>
    <t>188/2021</t>
  </si>
  <si>
    <t>189/2021</t>
  </si>
  <si>
    <t>191/2021</t>
  </si>
  <si>
    <t>019266/2021-11</t>
  </si>
  <si>
    <t>Aquisição de equipamentos de proteção individual (Luvas, máscaras e similares)</t>
  </si>
  <si>
    <t xml:space="preserve">Devolvido para avaliação de apontamentos nos descritivos. </t>
  </si>
  <si>
    <t>Valor acima/ propostas não estavam de acordo com o edital</t>
  </si>
  <si>
    <t>Em prazo Recursal: 25/08 Recurso; 30/08 Contrarrazão e Decisão 06/09.</t>
  </si>
  <si>
    <t>035553/2021-79</t>
  </si>
  <si>
    <t xml:space="preserve">Cessão de uso de área física UFSC com 187,17 m para exploração de lanchonete no EFI. </t>
  </si>
  <si>
    <t>201/2021</t>
  </si>
  <si>
    <t>028245/2021-97</t>
  </si>
  <si>
    <t xml:space="preserve">Contratação do fornecimento de buffet para os alunos/servidores c/ cessão de espaço agrupada. </t>
  </si>
  <si>
    <t>Incompatibilidade e valor acima.</t>
  </si>
  <si>
    <t>Em 27/08 encaminhado para Homologação.</t>
  </si>
  <si>
    <t>Não responderam questionamento no chat/Não concordaram com redução ao estimado</t>
  </si>
  <si>
    <t xml:space="preserve">Contratação de serviços de almoxarife, aux. Lavanderia e marceria. </t>
  </si>
  <si>
    <t>Planilha</t>
  </si>
  <si>
    <t>Realizando Aceitação. Reabertura em 09/09 às 14:30.</t>
  </si>
  <si>
    <t>022954/2021-69</t>
  </si>
  <si>
    <t>Contratação de serviços de recuperação e tratamento de trincas em paredes de alvenaria e pinturas.</t>
  </si>
  <si>
    <t>212/2021</t>
  </si>
  <si>
    <t>Fornecedor não respondeu questionamento</t>
  </si>
  <si>
    <t>213/2021</t>
  </si>
  <si>
    <t>Em prazo recursal. Prazo para razões: 13/09/2021.</t>
  </si>
  <si>
    <t>Reabertura agendada para 13/09/2021 às 10h30min.</t>
  </si>
  <si>
    <t>034886/2021-81</t>
  </si>
  <si>
    <t>Contratação de prestação de serviços de manutenção preventiva e corretiva em elevadores e plataformas</t>
  </si>
  <si>
    <t>216/2021</t>
  </si>
  <si>
    <t>Fase de habilitação. Reabertura em 13/09, às 09h.</t>
  </si>
  <si>
    <t>067/2021</t>
  </si>
  <si>
    <t>68/2021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</si>
</sst>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&quot;R$ &quot;* #,##0.00_-;&quot;-R$ &quot;* #,##0.00_-;_-&quot;R$ &quot;* \-??_-;_-@_-"/>
    <numFmt numFmtId="165" formatCode="[$-416]d/m/yyyy"/>
    <numFmt numFmtId="166" formatCode="d/m/yyyy"/>
    <numFmt numFmtId="167" formatCode="h:mm;@"/>
    <numFmt numFmtId="168" formatCode="_-[$R$-416]\ * #,##0.00_-;\-[$R$-416]\ * #,##0.00_-;_-[$R$-416]\ * \-??_-;_-@_-"/>
    <numFmt numFmtId="169" formatCode="0.0%"/>
    <numFmt numFmtId="170" formatCode="[$-416]hh:mm"/>
    <numFmt numFmtId="171" formatCode="mmm\-yy"/>
  </numFmts>
  <fonts count="23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Verdana"/>
      <family val="2"/>
    </font>
    <font>
      <b/>
      <sz val="10"/>
      <color rgb="FF000000"/>
      <name val="Verdana"/>
      <family val="2"/>
    </font>
    <font>
      <b/>
      <sz val="11"/>
      <color rgb="FF0F4098"/>
      <name val="Calibri"/>
      <family val="2"/>
    </font>
    <font>
      <b/>
      <sz val="8"/>
      <color rgb="FF000000"/>
      <name val="Verdana"/>
      <family val="2"/>
    </font>
    <font>
      <sz val="11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20"/>
      <color rgb="FF0070C0"/>
      <name val="Arial Narrow"/>
      <family val="2"/>
    </font>
    <font>
      <b/>
      <sz val="12"/>
      <color rgb="FF000000"/>
      <name val="Arial Narrow"/>
      <family val="2"/>
    </font>
    <font>
      <b/>
      <sz val="6"/>
      <color rgb="FF000000"/>
      <name val="Verdana"/>
      <family val="2"/>
    </font>
    <font>
      <b/>
      <sz val="14"/>
      <color rgb="FF000000"/>
      <name val="Arial Narrow"/>
      <family val="2"/>
    </font>
    <font>
      <b/>
      <sz val="11"/>
      <color rgb="FF000000"/>
      <name val="Arial Narrow"/>
      <family val="2"/>
    </font>
    <font>
      <sz val="11"/>
      <color rgb="FFFFFFFF"/>
      <name val="Arial Narrow"/>
      <family val="2"/>
    </font>
    <font>
      <b/>
      <sz val="10"/>
      <color rgb="FF000000"/>
      <name val="Arial Narrow"/>
      <family val="2"/>
    </font>
    <font>
      <b/>
      <sz val="7.5"/>
      <color rgb="FF000000"/>
      <name val="Verdana"/>
      <family val="2"/>
    </font>
    <font>
      <sz val="8"/>
      <color rgb="FFFFFFFF"/>
      <name val="Verdana"/>
      <family val="2"/>
    </font>
    <font>
      <sz val="10.5"/>
      <color rgb="FF000000"/>
      <name val="Arial Narrow"/>
      <family val="2"/>
    </font>
    <font>
      <sz val="7.5"/>
      <color rgb="FF000000"/>
      <name val="Verdana"/>
      <family val="2"/>
    </font>
    <font>
      <sz val="11"/>
      <color rgb="FFFF0000"/>
      <name val="Arial Narrow"/>
      <family val="2"/>
    </font>
    <font>
      <sz val="8"/>
      <color rgb="FFFF0000"/>
      <name val="Verdana"/>
      <family val="2"/>
    </font>
    <font>
      <b/>
      <sz val="8"/>
      <color rgb="FFFFFFFF"/>
      <name val="Verdana"/>
      <family val="2"/>
    </font>
    <font>
      <sz val="11"/>
      <color rgb="FF000000"/>
      <name val="Calibri"/>
      <family val="2"/>
    </font>
  </fonts>
  <fills count="47">
    <fill>
      <patternFill patternType="none"/>
    </fill>
    <fill>
      <patternFill patternType="gray125"/>
    </fill>
    <fill>
      <patternFill patternType="solid">
        <fgColor rgb="FFBFBFB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0F4098"/>
        <bgColor rgb="FFFFFFFF"/>
      </patternFill>
    </fill>
    <fill>
      <patternFill patternType="solid">
        <fgColor rgb="FF0F4098"/>
        <bgColor rgb="FFFFFFFF"/>
      </patternFill>
    </fill>
    <fill>
      <patternFill patternType="solid">
        <fgColor rgb="FF0F4098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EE30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EE300"/>
        <bgColor rgb="FFFFFFFF"/>
      </patternFill>
    </fill>
    <fill>
      <patternFill patternType="solid">
        <fgColor rgb="FFFEE300"/>
        <bgColor rgb="FFFFFFFF"/>
      </patternFill>
    </fill>
    <fill>
      <patternFill patternType="solid">
        <fgColor rgb="FFFEE300"/>
        <bgColor rgb="FFFFFFFF"/>
      </patternFill>
    </fill>
    <fill>
      <patternFill patternType="solid">
        <fgColor rgb="FFFEE30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EE300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0F4098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0F4098"/>
        <bgColor rgb="FFFFFFFF"/>
      </patternFill>
    </fill>
    <fill>
      <patternFill patternType="solid">
        <fgColor rgb="FF9DC3E6"/>
        <bgColor rgb="FFFFFFFF"/>
      </patternFill>
    </fill>
    <fill>
      <patternFill patternType="solid">
        <fgColor rgb="FFFEE300"/>
        <bgColor rgb="FFFFFFFF"/>
      </patternFill>
    </fill>
    <fill>
      <patternFill patternType="solid">
        <fgColor rgb="FFFFD966"/>
        <bgColor rgb="FFFFFFFF"/>
      </patternFill>
    </fill>
    <fill>
      <patternFill patternType="solid">
        <fgColor rgb="FFFFE699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0F4098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C4D79B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B1A0C7"/>
        <bgColor rgb="FFFFFFFF"/>
      </patternFill>
    </fill>
    <fill>
      <patternFill patternType="solid">
        <fgColor rgb="FFFAE390"/>
        <bgColor rgb="FFFFFFFF"/>
      </patternFill>
    </fill>
    <fill>
      <patternFill patternType="solid">
        <fgColor rgb="FFDA9694"/>
        <bgColor rgb="FFFFFFFF"/>
      </patternFill>
    </fill>
    <fill>
      <patternFill patternType="solid">
        <fgColor rgb="FFFABF8F"/>
        <bgColor rgb="FFFFFFFF"/>
      </patternFill>
    </fill>
    <fill>
      <patternFill patternType="solid">
        <fgColor rgb="FF31859C"/>
        <bgColor rgb="FFFFFFFF"/>
      </patternFill>
    </fill>
    <fill>
      <patternFill patternType="solid">
        <fgColor rgb="FFFFFF00"/>
        <bgColor rgb="FFFFFFFF"/>
      </patternFill>
    </fill>
  </fills>
  <borders count="8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ck">
        <color rgb="FF0F4098"/>
      </bottom>
      <diagonal/>
    </border>
    <border>
      <left style="thick">
        <color rgb="FF0F4098"/>
      </left>
      <right/>
      <top/>
      <bottom style="thick">
        <color rgb="FF0F4098"/>
      </bottom>
      <diagonal/>
    </border>
    <border>
      <left style="thin">
        <color rgb="FF0F4098"/>
      </left>
      <right style="thin">
        <color rgb="FF0F4098"/>
      </right>
      <top/>
      <bottom style="thick">
        <color rgb="FF0F4098"/>
      </bottom>
      <diagonal/>
    </border>
    <border>
      <left/>
      <right style="thin">
        <color rgb="FF0F4098"/>
      </right>
      <top/>
      <bottom style="thick">
        <color rgb="FF0F4098"/>
      </bottom>
      <diagonal/>
    </border>
    <border>
      <left style="thin">
        <color rgb="FF0F4098"/>
      </left>
      <right style="thin">
        <color rgb="FF0F4098"/>
      </right>
      <top/>
      <bottom style="thick">
        <color rgb="FF0F4098"/>
      </bottom>
      <diagonal/>
    </border>
    <border>
      <left style="thin">
        <color rgb="FF0F4098"/>
      </left>
      <right/>
      <top/>
      <bottom style="thick">
        <color rgb="FF0F4098"/>
      </bottom>
      <diagonal/>
    </border>
    <border>
      <left style="thick">
        <color rgb="FF0F4098"/>
      </left>
      <right style="mediumDashed">
        <color rgb="FF0F4098"/>
      </right>
      <top style="mediumDashed">
        <color rgb="FF0F4098"/>
      </top>
      <bottom style="thick">
        <color rgb="FF0F4098"/>
      </bottom>
      <diagonal/>
    </border>
    <border>
      <left style="mediumDashed">
        <color rgb="FF0F4098"/>
      </left>
      <right style="thick">
        <color rgb="FF0F4098"/>
      </right>
      <top style="mediumDashed">
        <color rgb="FF0F4098"/>
      </top>
      <bottom style="thick">
        <color rgb="FF0F4098"/>
      </bottom>
      <diagonal/>
    </border>
    <border>
      <left style="thin">
        <color rgb="FF0F4098"/>
      </left>
      <right/>
      <top/>
      <bottom style="thick">
        <color rgb="FF0F4098"/>
      </bottom>
      <diagonal/>
    </border>
    <border>
      <left style="mediumDashed">
        <color rgb="FF0F4098"/>
      </left>
      <right style="mediumDashed">
        <color rgb="FF0F4098"/>
      </right>
      <top style="mediumDashed">
        <color rgb="FF0F4098"/>
      </top>
      <bottom style="thick">
        <color rgb="FF0F4098"/>
      </bottom>
      <diagonal/>
    </border>
    <border>
      <left style="mediumDashed">
        <color rgb="FF0F4098"/>
      </left>
      <right style="thick">
        <color rgb="FF0F4098"/>
      </right>
      <top style="mediumDashed">
        <color rgb="FF0F4098"/>
      </top>
      <bottom style="thick">
        <color rgb="FF0F4098"/>
      </bottom>
      <diagonal/>
    </border>
    <border>
      <left/>
      <right style="thin">
        <color rgb="FF0F4098"/>
      </right>
      <top/>
      <bottom style="thick">
        <color rgb="FF0F4098"/>
      </bottom>
      <diagonal/>
    </border>
    <border>
      <left style="thin">
        <color rgb="FF0F4098"/>
      </left>
      <right style="thin">
        <color rgb="FF0F4098"/>
      </right>
      <top/>
      <bottom style="thick">
        <color rgb="FF0F4098"/>
      </bottom>
      <diagonal/>
    </border>
    <border>
      <left style="thick">
        <color rgb="FF0F4098"/>
      </left>
      <right style="mediumDashed">
        <color rgb="FF0F4098"/>
      </right>
      <top style="mediumDashed">
        <color rgb="FF0F4098"/>
      </top>
      <bottom style="thick">
        <color rgb="FF0F4098"/>
      </bottom>
      <diagonal/>
    </border>
    <border>
      <left style="mediumDashed">
        <color rgb="FF0F4098"/>
      </left>
      <right style="mediumDashed">
        <color rgb="FF0F4098"/>
      </right>
      <top style="mediumDashed">
        <color rgb="FF0F4098"/>
      </top>
      <bottom style="thick">
        <color rgb="FF0F4098"/>
      </bottom>
      <diagonal/>
    </border>
    <border>
      <left style="thick">
        <color rgb="FF0F4098"/>
      </left>
      <right/>
      <top/>
      <bottom style="thick">
        <color rgb="FF0F4098"/>
      </bottom>
      <diagonal/>
    </border>
    <border>
      <left style="mediumDashed">
        <color rgb="FF0F4098"/>
      </left>
      <right style="mediumDashed">
        <color rgb="FF0F4098"/>
      </right>
      <top style="mediumDashed">
        <color rgb="FF0F4098"/>
      </top>
      <bottom style="thick">
        <color rgb="FF0F4098"/>
      </bottom>
      <diagonal/>
    </border>
    <border>
      <left/>
      <right style="thick">
        <color rgb="FF0F4098"/>
      </right>
      <top/>
      <bottom style="thick">
        <color rgb="FF0F4098"/>
      </bottom>
      <diagonal/>
    </border>
    <border>
      <left/>
      <right style="thick">
        <color rgb="FF0F4098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ck">
        <color rgb="FF0F4098"/>
      </left>
      <right/>
      <top/>
      <bottom/>
      <diagonal/>
    </border>
    <border>
      <left/>
      <right/>
      <top/>
      <bottom style="thick">
        <color rgb="FFBFBFBF"/>
      </bottom>
      <diagonal/>
    </border>
    <border>
      <left style="thick">
        <color rgb="FFBFBFBF"/>
      </left>
      <right/>
      <top style="thick">
        <color rgb="FFBFBFBF"/>
      </top>
      <bottom/>
      <diagonal/>
    </border>
    <border>
      <left style="thick">
        <color rgb="FFBFBFBF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ck">
        <color rgb="FFBFBFBF"/>
      </left>
      <right/>
      <top/>
      <bottom/>
      <diagonal/>
    </border>
    <border>
      <left style="thick">
        <color rgb="FF0F4098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dashed">
        <color rgb="FFBFBFBF"/>
      </left>
      <right style="dashed">
        <color rgb="FFBFBFBF"/>
      </right>
      <top style="dashed">
        <color rgb="FFBFBFBF"/>
      </top>
      <bottom style="dashed">
        <color rgb="FFBFBFBF"/>
      </bottom>
      <diagonal/>
    </border>
    <border>
      <left style="dashed">
        <color rgb="FFBFBFBF"/>
      </left>
      <right style="dashed">
        <color rgb="FFBFBFBF"/>
      </right>
      <top style="dashed">
        <color rgb="FFBFBFBF"/>
      </top>
      <bottom style="dashed">
        <color rgb="FFBFBFBF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BFBFBF"/>
      </left>
      <right/>
      <top/>
      <bottom style="thick">
        <color rgb="FFBFBFBF"/>
      </bottom>
      <diagonal/>
    </border>
    <border>
      <left/>
      <right/>
      <top/>
      <bottom style="thick">
        <color rgb="FFBFBFBF"/>
      </bottom>
      <diagonal/>
    </border>
    <border>
      <left style="thick">
        <color rgb="FFBFBFBF"/>
      </left>
      <right/>
      <top style="thick">
        <color rgb="FFBFBFBF"/>
      </top>
      <bottom/>
      <diagonal/>
    </border>
    <border>
      <left/>
      <right/>
      <top style="thick">
        <color rgb="FFBFBFBF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dashed">
        <color rgb="FFBFBFBF"/>
      </left>
      <right style="dashed">
        <color rgb="FFBFBFBF"/>
      </right>
      <top style="dashed">
        <color rgb="FFBFBFBF"/>
      </top>
      <bottom style="dashed">
        <color rgb="FFBFBFBF"/>
      </bottom>
      <diagonal/>
    </border>
    <border>
      <left/>
      <right style="thick">
        <color rgb="FFBFBFBF"/>
      </right>
      <top/>
      <bottom/>
      <diagonal/>
    </border>
    <border>
      <left/>
      <right/>
      <top/>
      <bottom/>
      <diagonal/>
    </border>
    <border>
      <left style="dashed">
        <color rgb="FFBFBFBF"/>
      </left>
      <right style="dashed">
        <color rgb="FFBFBFBF"/>
      </right>
      <top style="dashed">
        <color rgb="FFBFBFBF"/>
      </top>
      <bottom style="dashed">
        <color rgb="FFBFBFBF"/>
      </bottom>
      <diagonal/>
    </border>
    <border>
      <left/>
      <right style="dashed">
        <color rgb="FFBFBFBF"/>
      </right>
      <top/>
      <bottom style="dashed">
        <color rgb="FFBFBFB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ck">
        <color rgb="FF0F4098"/>
      </left>
      <right style="thick">
        <color rgb="FF0F4098"/>
      </right>
      <top style="thick">
        <color rgb="FF0F4098"/>
      </top>
      <bottom style="mediumDashed">
        <color rgb="FF0F4098"/>
      </bottom>
      <diagonal/>
    </border>
  </borders>
  <cellStyleXfs count="9">
    <xf numFmtId="0" fontId="0" fillId="0" borderId="0"/>
    <xf numFmtId="164" fontId="22" fillId="0" borderId="0" applyBorder="0" applyProtection="0"/>
    <xf numFmtId="9" fontId="22" fillId="0" borderId="0" applyBorder="0" applyProtection="0"/>
    <xf numFmtId="0" fontId="22" fillId="0" borderId="0" applyBorder="0" applyProtection="0"/>
    <xf numFmtId="0" fontId="22" fillId="0" borderId="0" applyBorder="0" applyProtection="0"/>
    <xf numFmtId="0" fontId="22" fillId="0" borderId="0" applyBorder="0" applyProtection="0">
      <alignment horizontal="left"/>
    </xf>
    <xf numFmtId="0" fontId="1" fillId="0" borderId="0" applyBorder="0" applyProtection="0"/>
    <xf numFmtId="0" fontId="1" fillId="0" borderId="0" applyBorder="0" applyProtection="0">
      <alignment horizontal="left"/>
    </xf>
    <xf numFmtId="0" fontId="22" fillId="0" borderId="0" applyBorder="0" applyProtection="0"/>
  </cellStyleXfs>
  <cellXfs count="253">
    <xf numFmtId="0" fontId="0" fillId="0" borderId="0" xfId="0"/>
    <xf numFmtId="0" fontId="0" fillId="2" borderId="1" xfId="0" applyFill="1" applyBorder="1"/>
    <xf numFmtId="0" fontId="0" fillId="3" borderId="2" xfId="0" applyFill="1" applyBorder="1"/>
    <xf numFmtId="0" fontId="3" fillId="3" borderId="2" xfId="0" applyFont="1" applyFill="1" applyBorder="1" applyAlignment="1">
      <alignment vertical="center"/>
    </xf>
    <xf numFmtId="0" fontId="4" fillId="3" borderId="2" xfId="0" applyFont="1" applyFill="1" applyBorder="1"/>
    <xf numFmtId="0" fontId="2" fillId="3" borderId="2" xfId="0" applyFont="1" applyFill="1" applyBorder="1"/>
    <xf numFmtId="0" fontId="2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left" vertical="center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64" fontId="6" fillId="0" borderId="0" xfId="1" applyFont="1" applyAlignment="1" applyProtection="1">
      <alignment horizontal="center" vertical="center"/>
      <protection locked="0"/>
    </xf>
    <xf numFmtId="165" fontId="6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164" fontId="6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/>
    <xf numFmtId="0" fontId="6" fillId="4" borderId="3" xfId="0" applyFont="1" applyFill="1" applyBorder="1" applyAlignment="1" applyProtection="1">
      <alignment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164" fontId="6" fillId="4" borderId="3" xfId="1" applyFont="1" applyFill="1" applyBorder="1" applyAlignment="1" applyProtection="1">
      <alignment horizontal="center" vertical="center"/>
      <protection locked="0"/>
    </xf>
    <xf numFmtId="165" fontId="6" fillId="4" borderId="3" xfId="0" applyNumberFormat="1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>
      <alignment horizontal="center" vertical="center"/>
    </xf>
    <xf numFmtId="164" fontId="6" fillId="4" borderId="3" xfId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 applyProtection="1">
      <alignment vertical="center" wrapText="1"/>
      <protection locked="0"/>
    </xf>
    <xf numFmtId="0" fontId="6" fillId="4" borderId="3" xfId="0" applyFont="1" applyFill="1" applyBorder="1" applyAlignment="1" applyProtection="1">
      <alignment horizontal="left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left" vertical="center"/>
      <protection locked="0"/>
    </xf>
    <xf numFmtId="0" fontId="9" fillId="4" borderId="3" xfId="0" applyFont="1" applyFill="1" applyBorder="1" applyAlignment="1" applyProtection="1">
      <alignment horizontal="center" vertical="center"/>
      <protection locked="0"/>
    </xf>
    <xf numFmtId="0" fontId="9" fillId="4" borderId="3" xfId="0" applyFont="1" applyFill="1" applyBorder="1" applyAlignment="1" applyProtection="1">
      <alignment horizontal="left" vertical="center"/>
      <protection locked="0"/>
    </xf>
    <xf numFmtId="0" fontId="9" fillId="4" borderId="3" xfId="0" applyFont="1" applyFill="1" applyBorder="1" applyAlignment="1" applyProtection="1">
      <alignment vertical="center"/>
      <protection locked="0"/>
    </xf>
    <xf numFmtId="0" fontId="10" fillId="4" borderId="3" xfId="0" applyFont="1" applyFill="1" applyBorder="1" applyAlignment="1" applyProtection="1">
      <alignment vertical="center"/>
      <protection locked="0"/>
    </xf>
    <xf numFmtId="0" fontId="5" fillId="5" borderId="4" xfId="0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 applyProtection="1">
      <alignment vertical="center"/>
      <protection locked="0"/>
    </xf>
    <xf numFmtId="164" fontId="5" fillId="5" borderId="4" xfId="1" applyFont="1" applyFill="1" applyBorder="1" applyAlignment="1" applyProtection="1">
      <alignment horizontal="center" vertical="center"/>
      <protection locked="0"/>
    </xf>
    <xf numFmtId="0" fontId="5" fillId="6" borderId="5" xfId="0" applyFont="1" applyFill="1" applyBorder="1" applyAlignment="1" applyProtection="1">
      <alignment horizontal="center" vertical="center"/>
      <protection locked="0"/>
    </xf>
    <xf numFmtId="165" fontId="5" fillId="5" borderId="4" xfId="0" applyNumberFormat="1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>
      <alignment horizontal="center" vertical="center"/>
    </xf>
    <xf numFmtId="164" fontId="5" fillId="6" borderId="5" xfId="1" applyFont="1" applyFill="1" applyBorder="1" applyAlignment="1" applyProtection="1">
      <alignment horizontal="center" vertical="center"/>
      <protection locked="0"/>
    </xf>
    <xf numFmtId="164" fontId="5" fillId="5" borderId="4" xfId="1" applyFont="1" applyFill="1" applyBorder="1" applyAlignment="1">
      <alignment horizontal="center" vertical="center"/>
    </xf>
    <xf numFmtId="0" fontId="5" fillId="5" borderId="4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/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7" borderId="6" xfId="0" applyFont="1" applyFill="1" applyBorder="1" applyAlignment="1" applyProtection="1">
      <alignment horizontal="center" vertical="center"/>
      <protection locked="0"/>
    </xf>
    <xf numFmtId="0" fontId="2" fillId="8" borderId="7" xfId="0" applyFont="1" applyFill="1" applyBorder="1" applyAlignment="1" applyProtection="1">
      <alignment horizontal="center" vertical="center"/>
      <protection locked="0"/>
    </xf>
    <xf numFmtId="0" fontId="2" fillId="9" borderId="8" xfId="0" applyFont="1" applyFill="1" applyBorder="1" applyAlignment="1" applyProtection="1">
      <alignment horizontal="center" vertical="center"/>
      <protection locked="0"/>
    </xf>
    <xf numFmtId="0" fontId="2" fillId="7" borderId="6" xfId="0" applyFont="1" applyFill="1" applyBorder="1" applyAlignment="1" applyProtection="1">
      <alignment horizontal="center" vertical="center" wrapText="1"/>
      <protection locked="0"/>
    </xf>
    <xf numFmtId="164" fontId="2" fillId="7" borderId="6" xfId="1" applyFont="1" applyFill="1" applyBorder="1" applyAlignment="1" applyProtection="1">
      <alignment horizontal="center" vertical="center"/>
      <protection locked="0"/>
    </xf>
    <xf numFmtId="0" fontId="2" fillId="10" borderId="9" xfId="0" applyFont="1" applyFill="1" applyBorder="1" applyAlignment="1" applyProtection="1">
      <alignment horizontal="center" vertical="center"/>
      <protection locked="0"/>
    </xf>
    <xf numFmtId="0" fontId="2" fillId="11" borderId="10" xfId="0" applyFont="1" applyFill="1" applyBorder="1" applyAlignment="1" applyProtection="1">
      <alignment horizontal="center" vertical="center"/>
      <protection locked="0"/>
    </xf>
    <xf numFmtId="0" fontId="2" fillId="12" borderId="11" xfId="0" applyFont="1" applyFill="1" applyBorder="1" applyAlignment="1" applyProtection="1">
      <alignment horizontal="center" vertical="center"/>
      <protection locked="0"/>
    </xf>
    <xf numFmtId="0" fontId="2" fillId="8" borderId="7" xfId="0" applyFont="1" applyFill="1" applyBorder="1" applyAlignment="1" applyProtection="1">
      <alignment horizontal="center" vertical="center" wrapText="1"/>
      <protection locked="0"/>
    </xf>
    <xf numFmtId="0" fontId="2" fillId="13" borderId="12" xfId="0" applyFont="1" applyFill="1" applyBorder="1" applyAlignment="1" applyProtection="1">
      <alignment horizontal="center" vertical="center"/>
      <protection locked="0"/>
    </xf>
    <xf numFmtId="0" fontId="2" fillId="14" borderId="13" xfId="0" applyFont="1" applyFill="1" applyBorder="1" applyAlignment="1" applyProtection="1">
      <alignment horizontal="center" vertical="center"/>
      <protection locked="0"/>
    </xf>
    <xf numFmtId="0" fontId="2" fillId="15" borderId="14" xfId="0" applyFont="1" applyFill="1" applyBorder="1" applyAlignment="1" applyProtection="1">
      <alignment horizontal="center" vertical="center"/>
      <protection locked="0"/>
    </xf>
    <xf numFmtId="0" fontId="2" fillId="16" borderId="15" xfId="0" applyFont="1" applyFill="1" applyBorder="1" applyAlignment="1" applyProtection="1">
      <alignment horizontal="center" vertical="center"/>
      <protection locked="0"/>
    </xf>
    <xf numFmtId="165" fontId="2" fillId="7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17" borderId="16" xfId="0" applyFont="1" applyFill="1" applyBorder="1" applyAlignment="1">
      <alignment horizontal="center" vertical="center"/>
    </xf>
    <xf numFmtId="0" fontId="2" fillId="18" borderId="17" xfId="0" applyFont="1" applyFill="1" applyBorder="1" applyAlignment="1" applyProtection="1">
      <alignment horizontal="center" vertical="center"/>
      <protection locked="0"/>
    </xf>
    <xf numFmtId="0" fontId="2" fillId="19" borderId="18" xfId="0" applyFont="1" applyFill="1" applyBorder="1" applyAlignment="1" applyProtection="1">
      <alignment horizontal="center" vertical="center"/>
      <protection locked="0"/>
    </xf>
    <xf numFmtId="164" fontId="2" fillId="8" borderId="7" xfId="1" applyFont="1" applyFill="1" applyBorder="1" applyAlignment="1" applyProtection="1">
      <alignment horizontal="center" vertical="center"/>
      <protection locked="0"/>
    </xf>
    <xf numFmtId="164" fontId="2" fillId="17" borderId="16" xfId="1" applyFont="1" applyFill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8" borderId="7" xfId="0" applyFont="1" applyFill="1" applyBorder="1" applyAlignment="1" applyProtection="1">
      <alignment horizontal="left" vertical="center" indent="1"/>
      <protection locked="0"/>
      <extLst>
        <ext uri="smNativeData">
          <pm:cellMargin xmlns:pm="smNativeData" id="1624570504" l="192" r="0" t="0" b="0" textRotation="0"/>
        </ext>
      </extLst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vertical="center"/>
      <protection locked="0"/>
    </xf>
    <xf numFmtId="0" fontId="5" fillId="20" borderId="22" xfId="0" applyFont="1" applyFill="1" applyBorder="1" applyAlignment="1">
      <alignment horizontal="center" vertical="center"/>
    </xf>
    <xf numFmtId="0" fontId="2" fillId="21" borderId="23" xfId="0" applyFont="1" applyFill="1" applyBorder="1" applyAlignment="1">
      <alignment horizontal="center" vertical="center"/>
    </xf>
    <xf numFmtId="0" fontId="2" fillId="22" borderId="24" xfId="0" applyFont="1" applyFill="1" applyBorder="1" applyAlignment="1">
      <alignment horizontal="center" vertical="center"/>
    </xf>
    <xf numFmtId="166" fontId="2" fillId="23" borderId="25" xfId="0" applyNumberFormat="1" applyFont="1" applyFill="1" applyBorder="1" applyAlignment="1">
      <alignment horizontal="center" vertical="center"/>
    </xf>
    <xf numFmtId="0" fontId="2" fillId="22" borderId="24" xfId="0" applyFont="1" applyFill="1" applyBorder="1" applyAlignment="1">
      <alignment vertical="center"/>
    </xf>
    <xf numFmtId="164" fontId="2" fillId="22" borderId="24" xfId="1" applyFont="1" applyFill="1" applyBorder="1" applyAlignment="1">
      <alignment horizontal="center" vertical="center"/>
    </xf>
    <xf numFmtId="166" fontId="2" fillId="22" borderId="24" xfId="0" applyNumberFormat="1" applyFont="1" applyFill="1" applyBorder="1" applyAlignment="1">
      <alignment horizontal="center" vertical="center"/>
    </xf>
    <xf numFmtId="167" fontId="2" fillId="22" borderId="24" xfId="0" applyNumberFormat="1" applyFont="1" applyFill="1" applyBorder="1" applyAlignment="1">
      <alignment horizontal="center" vertical="center"/>
    </xf>
    <xf numFmtId="165" fontId="2" fillId="22" borderId="24" xfId="0" applyNumberFormat="1" applyFont="1" applyFill="1" applyBorder="1" applyAlignment="1">
      <alignment horizontal="center" vertical="center"/>
    </xf>
    <xf numFmtId="0" fontId="2" fillId="23" borderId="25" xfId="0" applyFont="1" applyFill="1" applyBorder="1" applyAlignment="1">
      <alignment horizontal="center" vertical="center"/>
    </xf>
    <xf numFmtId="168" fontId="2" fillId="23" borderId="25" xfId="1" applyNumberFormat="1" applyFont="1" applyFill="1" applyBorder="1" applyAlignment="1">
      <alignment horizontal="center" vertical="center"/>
    </xf>
    <xf numFmtId="164" fontId="2" fillId="23" borderId="25" xfId="1" applyFont="1" applyFill="1" applyBorder="1" applyAlignment="1">
      <alignment horizontal="center" vertical="center"/>
    </xf>
    <xf numFmtId="10" fontId="2" fillId="23" borderId="25" xfId="0" applyNumberFormat="1" applyFont="1" applyFill="1" applyBorder="1" applyAlignment="1">
      <alignment horizontal="center" vertical="center"/>
    </xf>
    <xf numFmtId="165" fontId="2" fillId="23" borderId="25" xfId="0" applyNumberFormat="1" applyFont="1" applyFill="1" applyBorder="1" applyAlignment="1">
      <alignment horizontal="center" vertical="center" wrapText="1"/>
    </xf>
    <xf numFmtId="165" fontId="2" fillId="24" borderId="26" xfId="0" applyNumberFormat="1" applyFont="1" applyFill="1" applyBorder="1" applyAlignment="1">
      <alignment horizontal="center" vertical="center" wrapText="1"/>
    </xf>
    <xf numFmtId="0" fontId="2" fillId="25" borderId="27" xfId="0" applyFont="1" applyFill="1" applyBorder="1" applyAlignment="1">
      <alignment horizontal="center" vertical="center" wrapText="1"/>
    </xf>
    <xf numFmtId="0" fontId="2" fillId="26" borderId="28" xfId="0" applyFont="1" applyFill="1" applyBorder="1" applyAlignment="1">
      <alignment horizontal="left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/>
    <xf numFmtId="0" fontId="6" fillId="0" borderId="0" xfId="0" applyFont="1" applyAlignment="1">
      <alignment vertical="center"/>
    </xf>
    <xf numFmtId="0" fontId="6" fillId="4" borderId="3" xfId="0" applyFont="1" applyFill="1" applyBorder="1" applyAlignment="1">
      <alignment vertical="center"/>
    </xf>
    <xf numFmtId="0" fontId="6" fillId="27" borderId="29" xfId="0" applyFont="1" applyFill="1" applyBorder="1" applyAlignment="1">
      <alignment vertical="center"/>
    </xf>
    <xf numFmtId="0" fontId="11" fillId="4" borderId="3" xfId="0" applyFont="1" applyFill="1" applyBorder="1" applyAlignment="1">
      <alignment vertical="center"/>
    </xf>
    <xf numFmtId="0" fontId="11" fillId="27" borderId="29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6" fillId="28" borderId="30" xfId="0" applyFont="1" applyFill="1" applyBorder="1" applyAlignment="1">
      <alignment vertical="center"/>
    </xf>
    <xf numFmtId="0" fontId="6" fillId="28" borderId="30" xfId="0" applyFont="1" applyFill="1" applyBorder="1" applyAlignment="1">
      <alignment horizontal="center" vertical="center"/>
    </xf>
    <xf numFmtId="0" fontId="12" fillId="29" borderId="31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0" borderId="32" xfId="0" applyFont="1" applyFill="1" applyBorder="1" applyAlignment="1">
      <alignment vertical="center"/>
    </xf>
    <xf numFmtId="0" fontId="12" fillId="31" borderId="33" xfId="0" applyFont="1" applyFill="1" applyBorder="1" applyAlignment="1">
      <alignment vertical="center"/>
    </xf>
    <xf numFmtId="0" fontId="6" fillId="31" borderId="33" xfId="0" applyFont="1" applyFill="1" applyBorder="1" applyAlignment="1">
      <alignment horizontal="center" vertical="center"/>
    </xf>
    <xf numFmtId="0" fontId="6" fillId="31" borderId="33" xfId="0" applyFont="1" applyFill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22" fillId="0" borderId="36" xfId="4" applyBorder="1"/>
    <xf numFmtId="0" fontId="22" fillId="0" borderId="37" xfId="4" applyBorder="1"/>
    <xf numFmtId="0" fontId="22" fillId="0" borderId="38" xfId="3" applyBorder="1"/>
    <xf numFmtId="0" fontId="22" fillId="0" borderId="39" xfId="4" applyBorder="1"/>
    <xf numFmtId="0" fontId="22" fillId="0" borderId="40" xfId="4" applyBorder="1"/>
    <xf numFmtId="0" fontId="9" fillId="0" borderId="0" xfId="0" applyFont="1" applyAlignment="1">
      <alignment horizontal="center" vertical="center"/>
    </xf>
    <xf numFmtId="0" fontId="22" fillId="0" borderId="41" xfId="3" applyBorder="1"/>
    <xf numFmtId="0" fontId="22" fillId="0" borderId="42" xfId="3" applyBorder="1"/>
    <xf numFmtId="168" fontId="22" fillId="0" borderId="43" xfId="5" applyNumberFormat="1" applyBorder="1">
      <alignment horizontal="left"/>
    </xf>
    <xf numFmtId="168" fontId="22" fillId="0" borderId="44" xfId="5" applyNumberFormat="1" applyBorder="1">
      <alignment horizontal="left"/>
    </xf>
    <xf numFmtId="168" fontId="1" fillId="0" borderId="45" xfId="7" applyNumberFormat="1" applyBorder="1">
      <alignment horizontal="left"/>
    </xf>
    <xf numFmtId="0" fontId="6" fillId="0" borderId="3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22" fillId="0" borderId="46" xfId="5" applyBorder="1">
      <alignment horizontal="left"/>
    </xf>
    <xf numFmtId="0" fontId="22" fillId="0" borderId="47" xfId="5" applyBorder="1">
      <alignment horizontal="left"/>
    </xf>
    <xf numFmtId="0" fontId="22" fillId="0" borderId="48" xfId="8" applyBorder="1"/>
    <xf numFmtId="0" fontId="22" fillId="0" borderId="49" xfId="8" applyBorder="1"/>
    <xf numFmtId="0" fontId="1" fillId="0" borderId="50" xfId="6" applyBorder="1"/>
    <xf numFmtId="0" fontId="22" fillId="0" borderId="51" xfId="5" applyBorder="1">
      <alignment horizontal="left"/>
    </xf>
    <xf numFmtId="0" fontId="22" fillId="0" borderId="52" xfId="5" applyBorder="1">
      <alignment horizontal="left"/>
    </xf>
    <xf numFmtId="0" fontId="22" fillId="0" borderId="53" xfId="8" applyBorder="1"/>
    <xf numFmtId="0" fontId="22" fillId="0" borderId="54" xfId="8" applyBorder="1"/>
    <xf numFmtId="0" fontId="1" fillId="0" borderId="55" xfId="6" applyBorder="1"/>
    <xf numFmtId="0" fontId="6" fillId="0" borderId="34" xfId="0" applyFont="1" applyBorder="1"/>
    <xf numFmtId="0" fontId="22" fillId="0" borderId="56" xfId="5" applyBorder="1">
      <alignment horizontal="left"/>
    </xf>
    <xf numFmtId="0" fontId="22" fillId="0" borderId="57" xfId="5" applyBorder="1">
      <alignment horizontal="left"/>
    </xf>
    <xf numFmtId="0" fontId="22" fillId="0" borderId="43" xfId="8" applyBorder="1"/>
    <xf numFmtId="0" fontId="22" fillId="0" borderId="58" xfId="8" applyBorder="1"/>
    <xf numFmtId="0" fontId="1" fillId="0" borderId="59" xfId="6" applyBorder="1"/>
    <xf numFmtId="0" fontId="22" fillId="0" borderId="60" xfId="8" applyBorder="1"/>
    <xf numFmtId="0" fontId="22" fillId="0" borderId="44" xfId="8" applyBorder="1"/>
    <xf numFmtId="0" fontId="5" fillId="0" borderId="61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2" fillId="32" borderId="62" xfId="0" applyFont="1" applyFill="1" applyBorder="1" applyAlignment="1">
      <alignment horizontal="center" vertical="center"/>
    </xf>
    <xf numFmtId="0" fontId="1" fillId="0" borderId="63" xfId="7" applyBorder="1">
      <alignment horizontal="left"/>
    </xf>
    <xf numFmtId="0" fontId="1" fillId="0" borderId="64" xfId="7" applyBorder="1">
      <alignment horizontal="left"/>
    </xf>
    <xf numFmtId="0" fontId="1" fillId="0" borderId="65" xfId="6" applyBorder="1"/>
    <xf numFmtId="0" fontId="1" fillId="0" borderId="64" xfId="6" applyBorder="1"/>
    <xf numFmtId="0" fontId="1" fillId="0" borderId="66" xfId="6" applyBorder="1"/>
    <xf numFmtId="0" fontId="6" fillId="0" borderId="67" xfId="0" applyFont="1" applyBorder="1" applyAlignment="1">
      <alignment vertical="center"/>
    </xf>
    <xf numFmtId="0" fontId="6" fillId="0" borderId="68" xfId="0" applyFont="1" applyBorder="1" applyAlignment="1">
      <alignment horizontal="center" vertical="center"/>
    </xf>
    <xf numFmtId="0" fontId="6" fillId="0" borderId="68" xfId="0" applyFont="1" applyBorder="1" applyAlignment="1">
      <alignment vertical="center"/>
    </xf>
    <xf numFmtId="0" fontId="6" fillId="0" borderId="69" xfId="0" applyFont="1" applyBorder="1" applyAlignment="1">
      <alignment vertical="center"/>
    </xf>
    <xf numFmtId="0" fontId="6" fillId="0" borderId="70" xfId="0" applyFont="1" applyBorder="1" applyAlignment="1">
      <alignment horizontal="center" vertical="center"/>
    </xf>
    <xf numFmtId="0" fontId="6" fillId="0" borderId="70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5" fillId="0" borderId="61" xfId="0" applyFont="1" applyBorder="1" applyAlignment="1">
      <alignment vertical="center"/>
    </xf>
    <xf numFmtId="0" fontId="5" fillId="33" borderId="71" xfId="0" applyFont="1" applyFill="1" applyBorder="1" applyAlignment="1">
      <alignment horizontal="center" vertical="center"/>
    </xf>
    <xf numFmtId="0" fontId="2" fillId="0" borderId="61" xfId="0" applyFont="1" applyBorder="1"/>
    <xf numFmtId="0" fontId="0" fillId="0" borderId="61" xfId="0" applyBorder="1" applyAlignment="1">
      <alignment horizontal="center" vertical="center"/>
    </xf>
    <xf numFmtId="169" fontId="2" fillId="0" borderId="61" xfId="0" applyNumberFormat="1" applyFont="1" applyBorder="1" applyAlignment="1">
      <alignment horizontal="center" vertical="center"/>
    </xf>
    <xf numFmtId="0" fontId="15" fillId="34" borderId="7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32" borderId="62" xfId="0" applyFont="1" applyFill="1" applyBorder="1" applyAlignment="1">
      <alignment horizontal="center" vertical="center"/>
    </xf>
    <xf numFmtId="0" fontId="5" fillId="0" borderId="61" xfId="0" applyFont="1" applyBorder="1"/>
    <xf numFmtId="0" fontId="2" fillId="0" borderId="6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35" borderId="73" xfId="0" applyFont="1" applyFill="1" applyBorder="1" applyAlignment="1">
      <alignment vertical="center"/>
    </xf>
    <xf numFmtId="169" fontId="5" fillId="35" borderId="73" xfId="0" applyNumberFormat="1" applyFont="1" applyFill="1" applyBorder="1" applyAlignment="1">
      <alignment horizontal="center" vertical="center"/>
    </xf>
    <xf numFmtId="10" fontId="2" fillId="0" borderId="61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67" xfId="0" applyFont="1" applyBorder="1"/>
    <xf numFmtId="0" fontId="6" fillId="0" borderId="68" xfId="0" applyFont="1" applyBorder="1"/>
    <xf numFmtId="0" fontId="6" fillId="36" borderId="74" xfId="0" applyFont="1" applyFill="1" applyBorder="1" applyAlignment="1" applyProtection="1">
      <alignment vertical="center"/>
      <protection locked="0"/>
    </xf>
    <xf numFmtId="0" fontId="6" fillId="3" borderId="2" xfId="0" applyFont="1" applyFill="1" applyBorder="1"/>
    <xf numFmtId="0" fontId="5" fillId="0" borderId="61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164" fontId="2" fillId="0" borderId="61" xfId="1" applyFont="1" applyBorder="1" applyAlignment="1">
      <alignment horizontal="center" vertical="center"/>
    </xf>
    <xf numFmtId="0" fontId="5" fillId="35" borderId="73" xfId="0" applyFont="1" applyFill="1" applyBorder="1" applyAlignment="1">
      <alignment horizontal="left" vertical="center"/>
    </xf>
    <xf numFmtId="10" fontId="5" fillId="35" borderId="73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0" fontId="5" fillId="0" borderId="0" xfId="2" applyNumberFormat="1" applyFont="1" applyAlignment="1">
      <alignment horizontal="center" vertical="center"/>
    </xf>
    <xf numFmtId="0" fontId="5" fillId="37" borderId="75" xfId="0" applyFont="1" applyFill="1" applyBorder="1" applyAlignment="1">
      <alignment horizontal="left" vertical="center" indent="1"/>
      <extLst>
        <ext uri="smNativeData">
          <pm:cellMargin xmlns:pm="smNativeData" id="1624570504" l="192" r="0" t="0" b="0" textRotation="0"/>
        </ext>
      </extLst>
    </xf>
    <xf numFmtId="0" fontId="2" fillId="37" borderId="75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  <extLst>
        <ext uri="smNativeData">
          <pm:cellMargin xmlns:pm="smNativeData" id="1624570504" l="192" r="0" t="0" b="0" textRotation="0"/>
        </ext>
      </extLst>
    </xf>
    <xf numFmtId="164" fontId="2" fillId="0" borderId="61" xfId="0" applyNumberFormat="1" applyFont="1" applyBorder="1" applyAlignment="1">
      <alignment vertical="center"/>
    </xf>
    <xf numFmtId="10" fontId="5" fillId="32" borderId="6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5" fillId="37" borderId="75" xfId="0" applyFont="1" applyFill="1" applyBorder="1" applyAlignment="1">
      <alignment horizontal="right" vertical="center"/>
    </xf>
    <xf numFmtId="0" fontId="16" fillId="37" borderId="75" xfId="0" applyFont="1" applyFill="1" applyBorder="1" applyAlignment="1">
      <alignment vertical="center"/>
    </xf>
    <xf numFmtId="164" fontId="2" fillId="0" borderId="34" xfId="1" applyFont="1" applyBorder="1" applyAlignment="1">
      <alignment horizontal="left" vertical="center" indent="15"/>
      <extLst>
        <ext uri="smNativeData">
          <pm:cellMargin xmlns:pm="smNativeData" id="1624570504" l="2880" r="0" t="0" b="0" textRotation="0"/>
        </ext>
      </extLst>
    </xf>
    <xf numFmtId="164" fontId="6" fillId="0" borderId="0" xfId="1" applyFont="1" applyAlignment="1">
      <alignment vertical="center"/>
    </xf>
    <xf numFmtId="164" fontId="6" fillId="27" borderId="29" xfId="1" applyFont="1" applyFill="1" applyBorder="1" applyAlignment="1">
      <alignment vertical="center"/>
    </xf>
    <xf numFmtId="164" fontId="6" fillId="3" borderId="2" xfId="1" applyFont="1" applyFill="1" applyBorder="1" applyAlignment="1">
      <alignment vertical="center"/>
    </xf>
    <xf numFmtId="0" fontId="17" fillId="0" borderId="0" xfId="0" applyFont="1" applyAlignment="1">
      <alignment horizontal="justify" vertical="center" wrapText="1"/>
    </xf>
    <xf numFmtId="0" fontId="18" fillId="34" borderId="7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vertical="center"/>
    </xf>
    <xf numFmtId="0" fontId="5" fillId="0" borderId="68" xfId="0" applyFont="1" applyBorder="1" applyAlignment="1">
      <alignment horizontal="right" vertical="center"/>
    </xf>
    <xf numFmtId="0" fontId="2" fillId="0" borderId="68" xfId="0" applyFont="1" applyBorder="1" applyAlignment="1">
      <alignment horizontal="center" vertical="center"/>
    </xf>
    <xf numFmtId="0" fontId="2" fillId="0" borderId="68" xfId="0" applyFont="1" applyBorder="1" applyAlignment="1">
      <alignment vertical="center"/>
    </xf>
    <xf numFmtId="0" fontId="6" fillId="4" borderId="3" xfId="0" applyFont="1" applyFill="1" applyBorder="1"/>
    <xf numFmtId="0" fontId="5" fillId="4" borderId="3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vertical="center"/>
    </xf>
    <xf numFmtId="0" fontId="2" fillId="38" borderId="76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77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5" fillId="0" borderId="61" xfId="0" applyFont="1" applyBorder="1" applyAlignment="1">
      <alignment horizontal="center"/>
    </xf>
    <xf numFmtId="0" fontId="15" fillId="0" borderId="61" xfId="0" applyFont="1" applyBorder="1" applyAlignment="1">
      <alignment horizontal="center" vertical="center"/>
    </xf>
    <xf numFmtId="0" fontId="18" fillId="0" borderId="61" xfId="0" applyFont="1" applyBorder="1" applyAlignment="1">
      <alignment horizontal="left" vertical="center"/>
    </xf>
    <xf numFmtId="0" fontId="5" fillId="0" borderId="42" xfId="0" applyFont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2" fillId="39" borderId="78" xfId="0" applyFont="1" applyFill="1" applyBorder="1" applyAlignment="1">
      <alignment vertical="center"/>
    </xf>
    <xf numFmtId="170" fontId="2" fillId="0" borderId="42" xfId="0" applyNumberFormat="1" applyFont="1" applyBorder="1" applyAlignment="1">
      <alignment horizontal="center" vertical="center"/>
    </xf>
    <xf numFmtId="0" fontId="2" fillId="40" borderId="79" xfId="0" applyFont="1" applyFill="1" applyBorder="1" applyAlignment="1">
      <alignment vertical="center"/>
    </xf>
    <xf numFmtId="0" fontId="2" fillId="0" borderId="80" xfId="0" applyFont="1" applyBorder="1" applyAlignment="1">
      <alignment vertical="center"/>
    </xf>
    <xf numFmtId="0" fontId="2" fillId="41" borderId="81" xfId="0" applyFont="1" applyFill="1" applyBorder="1" applyAlignment="1">
      <alignment vertical="center"/>
    </xf>
    <xf numFmtId="0" fontId="20" fillId="0" borderId="42" xfId="0" applyFont="1" applyBorder="1" applyAlignment="1">
      <alignment vertical="center"/>
    </xf>
    <xf numFmtId="0" fontId="2" fillId="0" borderId="82" xfId="0" applyFont="1" applyBorder="1" applyAlignment="1">
      <alignment vertical="center"/>
    </xf>
    <xf numFmtId="0" fontId="2" fillId="42" borderId="83" xfId="0" applyFont="1" applyFill="1" applyBorder="1" applyAlignment="1">
      <alignment vertical="center"/>
    </xf>
    <xf numFmtId="0" fontId="2" fillId="43" borderId="84" xfId="0" applyFont="1" applyFill="1" applyBorder="1" applyAlignment="1">
      <alignment vertical="center"/>
    </xf>
    <xf numFmtId="0" fontId="2" fillId="44" borderId="85" xfId="0" applyFont="1" applyFill="1" applyBorder="1" applyAlignment="1">
      <alignment vertical="center"/>
    </xf>
    <xf numFmtId="0" fontId="16" fillId="45" borderId="86" xfId="0" applyFont="1" applyFill="1" applyBorder="1" applyAlignment="1">
      <alignment vertical="center"/>
    </xf>
    <xf numFmtId="170" fontId="2" fillId="0" borderId="0" xfId="0" applyNumberFormat="1" applyFont="1" applyAlignment="1">
      <alignment horizontal="center" vertical="center"/>
    </xf>
    <xf numFmtId="0" fontId="21" fillId="3" borderId="2" xfId="0" applyFont="1" applyFill="1" applyBorder="1"/>
    <xf numFmtId="0" fontId="21" fillId="3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vertical="center"/>
    </xf>
    <xf numFmtId="0" fontId="16" fillId="3" borderId="2" xfId="0" applyFont="1" applyFill="1" applyBorder="1" applyAlignment="1">
      <alignment horizontal="center" vertical="center"/>
    </xf>
    <xf numFmtId="2" fontId="16" fillId="3" borderId="2" xfId="0" applyNumberFormat="1" applyFont="1" applyFill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  <xf numFmtId="0" fontId="5" fillId="46" borderId="87" xfId="0" applyFont="1" applyFill="1" applyBorder="1" applyAlignment="1">
      <alignment vertical="center"/>
    </xf>
    <xf numFmtId="0" fontId="5" fillId="46" borderId="87" xfId="0" applyFont="1" applyFill="1" applyBorder="1" applyAlignment="1">
      <alignment horizontal="center" vertical="center"/>
    </xf>
    <xf numFmtId="1" fontId="5" fillId="46" borderId="87" xfId="0" applyNumberFormat="1" applyFont="1" applyFill="1" applyBorder="1" applyAlignment="1">
      <alignment horizontal="center" vertical="center"/>
    </xf>
    <xf numFmtId="0" fontId="2" fillId="22" borderId="24" xfId="0" applyFont="1" applyFill="1" applyBorder="1" applyAlignment="1">
      <alignment horizontal="center" vertical="center" wrapText="1"/>
    </xf>
    <xf numFmtId="171" fontId="2" fillId="22" borderId="24" xfId="0" applyNumberFormat="1" applyFont="1" applyFill="1" applyBorder="1" applyAlignment="1">
      <alignment horizontal="center" vertical="center"/>
    </xf>
    <xf numFmtId="0" fontId="2" fillId="22" borderId="24" xfId="0" applyFont="1" applyFill="1" applyBorder="1" applyAlignment="1">
      <alignment horizontal="center" vertical="center" wrapText="1" shrinkToFit="1"/>
    </xf>
    <xf numFmtId="0" fontId="2" fillId="4" borderId="87" xfId="0" applyFont="1" applyFill="1" applyBorder="1" applyAlignment="1" applyProtection="1">
      <alignment vertical="center"/>
      <protection locked="0"/>
    </xf>
    <xf numFmtId="0" fontId="3" fillId="37" borderId="7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8" fillId="4" borderId="3" xfId="0" applyFont="1" applyFill="1" applyBorder="1" applyAlignment="1" applyProtection="1">
      <alignment horizontal="left" vertical="center"/>
      <protection locked="0"/>
    </xf>
    <xf numFmtId="0" fontId="5" fillId="0" borderId="88" xfId="0" applyFont="1" applyBorder="1" applyAlignment="1" applyProtection="1">
      <alignment horizontal="center" vertical="center"/>
      <protection locked="0"/>
    </xf>
  </cellXfs>
  <cellStyles count="9">
    <cellStyle name="Campo da tabela dinâmica" xfId="3"/>
    <cellStyle name="Canto da tabela dinâmica" xfId="4"/>
    <cellStyle name="Categoria da tabela dinâmica" xfId="5"/>
    <cellStyle name="Moeda" xfId="1" builtinId="4" customBuiltin="1"/>
    <cellStyle name="Normal" xfId="0" builtinId="0" customBuiltin="1"/>
    <cellStyle name="Porcentagem" xfId="2" builtinId="5" customBuiltin="1"/>
    <cellStyle name="Resultado da tabela dinâmica" xfId="6"/>
    <cellStyle name="Título da tabela dinâmica" xfId="7"/>
    <cellStyle name="Valor da tabela dinâmica" xfId="8"/>
  </cellStyles>
  <dxfs count="49">
    <dxf>
      <fill>
        <patternFill patternType="solid">
          <bgColor rgb="FFC4D79B"/>
        </patternFill>
      </fill>
    </dxf>
    <dxf>
      <fill>
        <patternFill patternType="solid">
          <bgColor rgb="FFBFBFBF"/>
        </patternFill>
      </fill>
    </dxf>
    <dxf>
      <fill>
        <patternFill patternType="solid">
          <bgColor rgb="FFB1A0C7"/>
        </patternFill>
      </fill>
    </dxf>
    <dxf>
      <fill>
        <patternFill patternType="solid">
          <bgColor rgb="FFFAE390"/>
        </patternFill>
      </fill>
    </dxf>
    <dxf>
      <fill>
        <patternFill patternType="solid">
          <bgColor rgb="FFDA9694"/>
        </patternFill>
      </fill>
    </dxf>
    <dxf>
      <fill>
        <patternFill patternType="solid">
          <bgColor rgb="FFFABF8F"/>
        </patternFill>
      </fill>
    </dxf>
    <dxf>
      <fill>
        <patternFill patternType="solid">
          <bgColor rgb="FF31859C"/>
        </patternFill>
      </fill>
    </dxf>
    <dxf>
      <fill>
        <patternFill patternType="solid">
          <bgColor rgb="FFC4D79B"/>
        </patternFill>
      </fill>
    </dxf>
    <dxf>
      <fill>
        <patternFill patternType="solid">
          <bgColor rgb="FFBFBFBF"/>
        </patternFill>
      </fill>
    </dxf>
    <dxf>
      <fill>
        <patternFill patternType="solid">
          <bgColor rgb="FFB1A0C7"/>
        </patternFill>
      </fill>
    </dxf>
    <dxf>
      <fill>
        <patternFill patternType="solid">
          <bgColor rgb="FFFAE390"/>
        </patternFill>
      </fill>
    </dxf>
    <dxf>
      <fill>
        <patternFill patternType="solid">
          <bgColor rgb="FFDA9694"/>
        </patternFill>
      </fill>
    </dxf>
    <dxf>
      <fill>
        <patternFill patternType="solid">
          <bgColor rgb="FFFABF8F"/>
        </patternFill>
      </fill>
    </dxf>
    <dxf>
      <fill>
        <patternFill patternType="solid">
          <bgColor rgb="FF31859C"/>
        </patternFill>
      </fill>
    </dxf>
    <dxf>
      <fill>
        <patternFill patternType="solid">
          <bgColor rgb="FFC4D79B"/>
        </patternFill>
      </fill>
    </dxf>
    <dxf>
      <fill>
        <patternFill patternType="solid">
          <bgColor rgb="FFBFBFBF"/>
        </patternFill>
      </fill>
    </dxf>
    <dxf>
      <fill>
        <patternFill patternType="solid">
          <bgColor rgb="FFB1A0C7"/>
        </patternFill>
      </fill>
    </dxf>
    <dxf>
      <fill>
        <patternFill patternType="solid">
          <bgColor rgb="FFFAE390"/>
        </patternFill>
      </fill>
    </dxf>
    <dxf>
      <fill>
        <patternFill patternType="solid">
          <bgColor rgb="FFDA9694"/>
        </patternFill>
      </fill>
    </dxf>
    <dxf>
      <fill>
        <patternFill patternType="solid">
          <bgColor rgb="FFFABF8F"/>
        </patternFill>
      </fill>
    </dxf>
    <dxf>
      <fill>
        <patternFill patternType="solid">
          <bgColor rgb="FF31859C"/>
        </patternFill>
      </fill>
    </dxf>
    <dxf>
      <fill>
        <patternFill patternType="solid">
          <bgColor rgb="FFC4D79B"/>
        </patternFill>
      </fill>
    </dxf>
    <dxf>
      <fill>
        <patternFill patternType="solid">
          <bgColor rgb="FFBFBFBF"/>
        </patternFill>
      </fill>
    </dxf>
    <dxf>
      <fill>
        <patternFill patternType="solid">
          <bgColor rgb="FFB1A0C7"/>
        </patternFill>
      </fill>
    </dxf>
    <dxf>
      <fill>
        <patternFill patternType="solid">
          <bgColor rgb="FFFAE390"/>
        </patternFill>
      </fill>
    </dxf>
    <dxf>
      <fill>
        <patternFill patternType="solid">
          <bgColor rgb="FFDA9694"/>
        </patternFill>
      </fill>
    </dxf>
    <dxf>
      <fill>
        <patternFill patternType="solid">
          <bgColor rgb="FFFABF8F"/>
        </patternFill>
      </fill>
    </dxf>
    <dxf>
      <fill>
        <patternFill patternType="solid">
          <bgColor rgb="FF31859C"/>
        </patternFill>
      </fill>
    </dxf>
    <dxf>
      <fill>
        <patternFill patternType="solid">
          <bgColor rgb="FFC4D79B"/>
        </patternFill>
      </fill>
    </dxf>
    <dxf>
      <fill>
        <patternFill patternType="solid">
          <bgColor rgb="FFBFBFBF"/>
        </patternFill>
      </fill>
    </dxf>
    <dxf>
      <fill>
        <patternFill patternType="solid">
          <bgColor rgb="FFB1A0C7"/>
        </patternFill>
      </fill>
    </dxf>
    <dxf>
      <fill>
        <patternFill patternType="solid">
          <bgColor rgb="FFFAE390"/>
        </patternFill>
      </fill>
    </dxf>
    <dxf>
      <fill>
        <patternFill patternType="solid">
          <bgColor rgb="FFDA9694"/>
        </patternFill>
      </fill>
    </dxf>
    <dxf>
      <fill>
        <patternFill patternType="solid">
          <bgColor rgb="FFFABF8F"/>
        </patternFill>
      </fill>
    </dxf>
    <dxf>
      <fill>
        <patternFill patternType="solid">
          <bgColor rgb="FF31859C"/>
        </patternFill>
      </fill>
    </dxf>
    <dxf>
      <fill>
        <patternFill patternType="solid">
          <bgColor rgb="FFC4D79B"/>
        </patternFill>
      </fill>
    </dxf>
    <dxf>
      <fill>
        <patternFill patternType="solid">
          <bgColor rgb="FFBFBFBF"/>
        </patternFill>
      </fill>
    </dxf>
    <dxf>
      <fill>
        <patternFill patternType="solid">
          <bgColor rgb="FFB1A0C7"/>
        </patternFill>
      </fill>
    </dxf>
    <dxf>
      <fill>
        <patternFill patternType="solid">
          <bgColor rgb="FFFAE390"/>
        </patternFill>
      </fill>
    </dxf>
    <dxf>
      <fill>
        <patternFill patternType="solid">
          <bgColor rgb="FFDA9694"/>
        </patternFill>
      </fill>
    </dxf>
    <dxf>
      <fill>
        <patternFill patternType="solid">
          <bgColor rgb="FFFABF8F"/>
        </patternFill>
      </fill>
    </dxf>
    <dxf>
      <fill>
        <patternFill patternType="solid">
          <bgColor rgb="FF31859C"/>
        </patternFill>
      </fill>
    </dxf>
    <dxf>
      <fill>
        <patternFill patternType="solid">
          <bgColor rgb="FFC4D79B"/>
        </patternFill>
      </fill>
    </dxf>
    <dxf>
      <fill>
        <patternFill patternType="solid">
          <bgColor rgb="FFBFBFBF"/>
        </patternFill>
      </fill>
    </dxf>
    <dxf>
      <fill>
        <patternFill patternType="solid">
          <bgColor rgb="FFB1A0C7"/>
        </patternFill>
      </fill>
    </dxf>
    <dxf>
      <fill>
        <patternFill patternType="solid">
          <bgColor rgb="FFFAE390"/>
        </patternFill>
      </fill>
    </dxf>
    <dxf>
      <fill>
        <patternFill patternType="solid">
          <bgColor rgb="FFDA9694"/>
        </patternFill>
      </fill>
    </dxf>
    <dxf>
      <fill>
        <patternFill patternType="solid">
          <bgColor rgb="FFFABF8F"/>
        </patternFill>
      </fill>
    </dxf>
    <dxf>
      <fill>
        <patternFill patternType="solid">
          <bgColor rgb="FF31859C"/>
        </patternFill>
      </fill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24570504" count="1">
        <pm:charStyle name="Normal" fontId="0" Id="1"/>
      </pm:charStyles>
      <pm:colors xmlns:pm="smNativeData" id="1624570504" count="20">
        <pm:color name="Cor 24" rgb="0F4098"/>
        <pm:color name="Cor 25" rgb="0070C0"/>
        <pm:color name="Cor 26" rgb="BFBFBF"/>
        <pm:color name="Cor 27" rgb="FEE300"/>
        <pm:color name="Cor 28" rgb="D9D9D9"/>
        <pm:color name="Cor 29" rgb="9DC3E6"/>
        <pm:color name="Cor 30" rgb="FFD966"/>
        <pm:color name="Cor 31" rgb="FFE699"/>
        <pm:color name="Cor 32" rgb="F2F2F2"/>
        <pm:color name="Cor 33" rgb="C4D79B"/>
        <pm:color name="Cor 34" rgb="B1A0C7"/>
        <pm:color name="Cor 35" rgb="FAE390"/>
        <pm:color name="Cor 36" rgb="DA9694"/>
        <pm:color name="Cor 37" rgb="FABF8F"/>
        <pm:color name="Cor 38" rgb="31859C"/>
        <pm:color name="Cor 39" rgb="BDD7EE"/>
        <pm:color name="Cor 40" rgb="95B3D7"/>
        <pm:color name="Cor 41" rgb="DCE6F1"/>
        <pm:color name="Cor 42" rgb="D8D8D8"/>
        <pm:color name="Cor 43" rgb="4F81BD"/>
      </pm:colors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 lang="pt-BR" sz="1600" b="1" i="0" u="none" strike="noStrike" kern="100">
                <a:solidFill>
                  <a:srgbClr val="000000"/>
                </a:solidFill>
                <a:latin typeface="Verdana" charset="0"/>
              </a:defRPr>
            </a:pPr>
            <a:r>
              <a:rPr lang="pt-BR"/>
              <a:t>% de Processos por Status</a:t>
            </a:r>
          </a:p>
        </c:rich>
      </c:tx>
      <c:layout>
        <c:manualLayout>
          <c:xMode val="edge"/>
          <c:yMode val="edge"/>
          <c:x val="5.2500000000000003E-3"/>
          <c:y val="2.2499999999999999E-2"/>
        </c:manualLayout>
      </c:layout>
      <c:overlay val="0"/>
      <c:spPr>
        <a:noFill/>
        <a:ln w="9525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EE300"/>
            </a:solidFill>
            <a:ln w="9525">
              <a:noFill/>
            </a:ln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60F-45D6-9438-B4E2832486E3}"/>
              </c:ext>
            </c:extLst>
          </c:dPt>
          <c:dLbls>
            <c:spPr>
              <a:noFill/>
              <a:ln w="9525">
                <a:noFill/>
              </a:ln>
            </c:spPr>
            <c:txPr>
              <a:bodyPr/>
              <a:lstStyle/>
              <a:p>
                <a:pPr>
                  <a:defRPr lang="pt-BR" sz="1000" b="0" i="0" u="none" strike="noStrike" kern="100">
                    <a:solidFill>
                      <a:srgbClr val="FFFFFF"/>
                    </a:solidFill>
                    <a:latin typeface="Verdana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Indicadores!$H$34:$H$40</c:f>
              <c:strCache>
                <c:ptCount val="7"/>
                <c:pt idx="0">
                  <c:v>Finalizado – Consolidado</c:v>
                </c:pt>
                <c:pt idx="1">
                  <c:v>Finalizado – Arquivado</c:v>
                </c:pt>
                <c:pt idx="2">
                  <c:v>Finalizado – Cancelado</c:v>
                </c:pt>
                <c:pt idx="3">
                  <c:v>Finalizado – Deserto</c:v>
                </c:pt>
                <c:pt idx="4">
                  <c:v>Finalizado – Fracassado</c:v>
                </c:pt>
                <c:pt idx="5">
                  <c:v>Finalizado – Revogado</c:v>
                </c:pt>
                <c:pt idx="6">
                  <c:v>Finalizado – Transportado</c:v>
                </c:pt>
              </c:strCache>
            </c:strRef>
          </c:cat>
          <c:val>
            <c:numRef>
              <c:f>Indicadores!$J$34:$J$40</c:f>
              <c:numCache>
                <c:formatCode>0.0%</c:formatCode>
                <c:ptCount val="7"/>
                <c:pt idx="0">
                  <c:v>0.90740740740740744</c:v>
                </c:pt>
                <c:pt idx="1">
                  <c:v>0</c:v>
                </c:pt>
                <c:pt idx="2">
                  <c:v>0</c:v>
                </c:pt>
                <c:pt idx="3">
                  <c:v>1.8518518518518517E-2</c:v>
                </c:pt>
                <c:pt idx="4">
                  <c:v>7.407407407407407E-2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sm="smo" uri="smo">
              <sm:meanLine>
                <c:spPr>
                  <a:ln w="9525">
                    <a:noFill/>
                  </a:ln>
                </c:spPr>
              </sm:meanLine>
              <sm:minMaxLine>
                <c:spPr>
                  <a:ln w="9525">
                    <a:noFill/>
                  </a:ln>
                </c:spPr>
              </sm:minMaxLine>
              <sm:stDevLine>
                <c:spPr>
                  <a:ln w="9525">
                    <a:noFill/>
                  </a:ln>
                </c:spPr>
              </sm:stDevLine>
              <sm:trendLine>
                <c:spPr>
                  <a:ln w="9525">
                    <a:noFill/>
                  </a:ln>
                </c:spPr>
              </sm:trendLine>
            </c:ext>
            <c:ext xmlns:c16="http://schemas.microsoft.com/office/drawing/2014/chart" uri="{C3380CC4-5D6E-409C-BE32-E72D297353CC}">
              <c16:uniqueId val="{00000001-E60F-45D6-9438-B4E283248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39990528"/>
        <c:axId val="139992064"/>
      </c:barChart>
      <c:catAx>
        <c:axId val="13999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F2F2F2"/>
            </a:solidFill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39992064"/>
        <c:crosses val="autoZero"/>
        <c:auto val="1"/>
        <c:lblAlgn val="l"/>
        <c:lblOffset val="100"/>
        <c:noMultiLvlLbl val="0"/>
      </c:catAx>
      <c:valAx>
        <c:axId val="139992064"/>
        <c:scaling>
          <c:orientation val="minMax"/>
        </c:scaling>
        <c:delete val="0"/>
        <c:axPos val="l"/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39990528"/>
        <c:crosses val="autoZero"/>
        <c:crossBetween val="between"/>
      </c:valAx>
      <c:spPr>
        <a:solidFill>
          <a:srgbClr val="0F4098"/>
        </a:solidFill>
        <a:ln w="9525">
          <a:noFill/>
        </a:ln>
      </c:spPr>
    </c:plotArea>
    <c:plotVisOnly val="1"/>
    <c:dispBlanksAs val="gap"/>
    <c:showDLblsOverMax val="0"/>
  </c:chart>
  <c:spPr>
    <a:solidFill>
      <a:srgbClr val="F2F2F2"/>
    </a:solidFill>
    <a:ln w="19050">
      <a:solidFill>
        <a:srgbClr val="FFFFFF"/>
      </a:solidFill>
    </a:ln>
  </c:spPr>
  <c:txPr>
    <a:bodyPr rot="0" anchor="t"/>
    <a:lstStyle/>
    <a:p>
      <a:pPr>
        <a:defRPr lang="pt-BR" sz="1000" b="0" i="0" u="none" strike="noStrike" kern="100">
          <a:solidFill>
            <a:srgbClr val="000000"/>
          </a:solidFill>
          <a:latin typeface="Calibri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 xmlns:c16r2="http://schemas.microsoft.com/office/drawing/2015/06/chart">
    <c:ext xmlns:sm="smo" uri="smo">
      <sm:colorScheme xmlns:sm="smo" id="1624570504" val="15"/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 lang="pt-BR" sz="1600" b="1" i="0" u="none" strike="noStrike" kern="100">
                <a:solidFill>
                  <a:srgbClr val="000000"/>
                </a:solidFill>
                <a:latin typeface="Verdana" charset="0"/>
              </a:defRPr>
            </a:pPr>
            <a:r>
              <a:t>Média de Prazo de Atuação do Responsável  </a:t>
            </a:r>
          </a:p>
          <a:p>
            <a:pPr>
              <a:defRPr lang="pt-BR" sz="1600" b="1" i="0" u="none" strike="noStrike" kern="100">
                <a:solidFill>
                  <a:srgbClr val="000000"/>
                </a:solidFill>
                <a:latin typeface="Verdana" charset="0"/>
              </a:defRPr>
            </a:pPr>
            <a:r>
              <a:t>por Processo</a:t>
            </a:r>
          </a:p>
        </c:rich>
      </c:tx>
      <c:layout>
        <c:manualLayout>
          <c:xMode val="edge"/>
          <c:yMode val="edge"/>
          <c:x val="1.75E-3"/>
          <c:y val="2.5000000000000001E-4"/>
        </c:manualLayout>
      </c:layout>
      <c:overlay val="0"/>
      <c:spPr>
        <a:noFill/>
        <a:ln w="9525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EE300"/>
            </a:solidFill>
            <a:ln w="9525">
              <a:noFill/>
            </a:ln>
          </c:spPr>
          <c:invertIfNegative val="0"/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D97-4BBC-82B3-ED8214D81F3D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D97-4BBC-82B3-ED8214D81F3D}"/>
              </c:ext>
            </c:extLst>
          </c:dPt>
          <c:dLbls>
            <c:spPr>
              <a:noFill/>
              <a:ln w="9525">
                <a:noFill/>
              </a:ln>
            </c:spPr>
            <c:txPr>
              <a:bodyPr/>
              <a:lstStyle/>
              <a:p>
                <a:pPr>
                  <a:defRPr lang="pt-BR" sz="800" b="0" i="0" u="none" strike="noStrike" kern="100">
                    <a:solidFill>
                      <a:srgbClr val="FFFFFF"/>
                    </a:solidFill>
                    <a:latin typeface="Verdana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Indicadores!$H$252:$H$258</c:f>
              <c:strCache>
                <c:ptCount val="7"/>
                <c:pt idx="0">
                  <c:v>Anderson</c:v>
                </c:pt>
                <c:pt idx="1">
                  <c:v>Diego Eller</c:v>
                </c:pt>
                <c:pt idx="2">
                  <c:v>Diego Ossanes</c:v>
                </c:pt>
                <c:pt idx="3">
                  <c:v>Gerson</c:v>
                </c:pt>
                <c:pt idx="4">
                  <c:v>João (Bnu)</c:v>
                </c:pt>
                <c:pt idx="5">
                  <c:v>Mery</c:v>
                </c:pt>
                <c:pt idx="6">
                  <c:v>Nailor</c:v>
                </c:pt>
              </c:strCache>
            </c:strRef>
          </c:cat>
          <c:val>
            <c:numRef>
              <c:f>Indicadores!$K$252:$K$258</c:f>
              <c:numCache>
                <c:formatCode>0</c:formatCode>
                <c:ptCount val="7"/>
                <c:pt idx="0">
                  <c:v>6.1111111111111107</c:v>
                </c:pt>
                <c:pt idx="1">
                  <c:v>25</c:v>
                </c:pt>
                <c:pt idx="2">
                  <c:v>7.0625</c:v>
                </c:pt>
                <c:pt idx="3">
                  <c:v>9.6</c:v>
                </c:pt>
                <c:pt idx="4">
                  <c:v>0</c:v>
                </c:pt>
                <c:pt idx="5">
                  <c:v>14.727272727272727</c:v>
                </c:pt>
                <c:pt idx="6">
                  <c:v>46.071428571428569</c:v>
                </c:pt>
              </c:numCache>
            </c:numRef>
          </c:val>
          <c:extLst xmlns:c16r2="http://schemas.microsoft.com/office/drawing/2015/06/chart">
            <c:ext xmlns:sm="smo" uri="smo">
              <sm:meanLine>
                <c:spPr>
                  <a:ln w="9525">
                    <a:noFill/>
                  </a:ln>
                </c:spPr>
              </sm:meanLine>
              <sm:minMaxLine>
                <c:spPr>
                  <a:ln w="9525">
                    <a:noFill/>
                  </a:ln>
                </c:spPr>
              </sm:minMaxLine>
              <sm:stDevLine>
                <c:spPr>
                  <a:ln w="9525">
                    <a:noFill/>
                  </a:ln>
                </c:spPr>
              </sm:stDevLine>
              <sm:trendLine>
                <c:spPr>
                  <a:ln w="9525">
                    <a:noFill/>
                  </a:ln>
                </c:spPr>
              </sm:trendLine>
            </c:ext>
            <c:ext xmlns:c16="http://schemas.microsoft.com/office/drawing/2014/chart" uri="{C3380CC4-5D6E-409C-BE32-E72D297353CC}">
              <c16:uniqueId val="{00000002-ED97-4BBC-82B3-ED8214D81F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820864"/>
        <c:axId val="140822400"/>
      </c:barChart>
      <c:catAx>
        <c:axId val="14082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solidFill>
              <a:srgbClr val="8B8B8B"/>
            </a:solidFill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40822400"/>
        <c:crosses val="autoZero"/>
        <c:auto val="1"/>
        <c:lblAlgn val="l"/>
        <c:lblOffset val="100"/>
        <c:noMultiLvlLbl val="0"/>
      </c:catAx>
      <c:valAx>
        <c:axId val="1408224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9525">
            <a:solidFill>
              <a:srgbClr val="8B8B8B"/>
            </a:solidFill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40820864"/>
        <c:crosses val="autoZero"/>
        <c:crossBetween val="between"/>
      </c:valAx>
      <c:spPr>
        <a:solidFill>
          <a:srgbClr val="0F4098"/>
        </a:solidFill>
        <a:ln w="9525">
          <a:noFill/>
        </a:ln>
      </c:spPr>
    </c:plotArea>
    <c:plotVisOnly val="1"/>
    <c:dispBlanksAs val="gap"/>
    <c:showDLblsOverMax val="0"/>
  </c:chart>
  <c:spPr>
    <a:solidFill>
      <a:srgbClr val="F2F2F2"/>
    </a:solidFill>
    <a:ln w="19050">
      <a:solidFill>
        <a:srgbClr val="FFFFFF"/>
      </a:solidFill>
    </a:ln>
  </c:spPr>
  <c:txPr>
    <a:bodyPr rot="0" anchor="t"/>
    <a:lstStyle/>
    <a:p>
      <a:pPr>
        <a:defRPr lang="pt-BR" sz="1000" b="0" i="0" u="none" strike="noStrike" kern="100">
          <a:solidFill>
            <a:srgbClr val="000000"/>
          </a:solidFill>
          <a:latin typeface="Calibri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 xmlns:c16r2="http://schemas.microsoft.com/office/drawing/2015/06/chart">
    <c:ext xmlns:sm="smo" uri="smo">
      <sm:colorScheme xmlns:sm="smo" id="1624570504" val="15"/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 lang="pt-BR" sz="1600" b="1" i="0" u="none" strike="noStrike" kern="100">
                <a:solidFill>
                  <a:srgbClr val="000000"/>
                </a:solidFill>
                <a:latin typeface="Verdana" charset="0"/>
              </a:defRPr>
            </a:pPr>
            <a:r>
              <a:t>Comparativo de atuação dos responsáveis</a:t>
            </a:r>
          </a:p>
        </c:rich>
      </c:tx>
      <c:layout>
        <c:manualLayout>
          <c:xMode val="edge"/>
          <c:yMode val="edge"/>
          <c:x val="1.25E-3"/>
          <c:y val="7.5000000000000002E-4"/>
        </c:manualLayout>
      </c:layout>
      <c:overlay val="0"/>
      <c:spPr>
        <a:noFill/>
        <a:ln w="9525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Indicadores!$N$265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518ABD"/>
            </a:solidFill>
            <a:ln w="9525">
              <a:noFill/>
            </a:ln>
          </c:spPr>
          <c:invertIfNegative val="0"/>
          <c:dLbls>
            <c:spPr>
              <a:noFill/>
              <a:ln w="9525">
                <a:noFill/>
              </a:ln>
            </c:spPr>
            <c:txPr>
              <a:bodyPr/>
              <a:lstStyle/>
              <a:p>
                <a:pPr>
                  <a:defRPr lang="pt-BR" sz="800" b="0" i="0" u="none" strike="noStrike" kern="100">
                    <a:solidFill>
                      <a:srgbClr val="FFFFFF"/>
                    </a:solidFill>
                    <a:latin typeface="Verdana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Indicadores!$M$266:$M$272</c:f>
              <c:strCache>
                <c:ptCount val="7"/>
                <c:pt idx="0">
                  <c:v>Anderson</c:v>
                </c:pt>
                <c:pt idx="1">
                  <c:v>Diego Eller</c:v>
                </c:pt>
                <c:pt idx="2">
                  <c:v>Diego Ossanes</c:v>
                </c:pt>
                <c:pt idx="3">
                  <c:v>Gerson</c:v>
                </c:pt>
                <c:pt idx="4">
                  <c:v>João (Bnu)</c:v>
                </c:pt>
                <c:pt idx="5">
                  <c:v>Mery</c:v>
                </c:pt>
                <c:pt idx="6">
                  <c:v>Nailor</c:v>
                </c:pt>
              </c:strCache>
            </c:strRef>
          </c:cat>
          <c:val>
            <c:numRef>
              <c:f>Indicadores!$N$266:$N$272</c:f>
              <c:numCache>
                <c:formatCode>General</c:formatCode>
                <c:ptCount val="7"/>
                <c:pt idx="0">
                  <c:v>0</c:v>
                </c:pt>
                <c:pt idx="1">
                  <c:v>47</c:v>
                </c:pt>
                <c:pt idx="2">
                  <c:v>44</c:v>
                </c:pt>
                <c:pt idx="3">
                  <c:v>0</c:v>
                </c:pt>
                <c:pt idx="4">
                  <c:v>40</c:v>
                </c:pt>
                <c:pt idx="5">
                  <c:v>44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sm="smo" uri="smo">
              <sm:meanLine>
                <c:spPr>
                  <a:ln w="9525">
                    <a:noFill/>
                  </a:ln>
                </c:spPr>
              </sm:meanLine>
              <sm:minMaxLine>
                <c:spPr>
                  <a:ln w="9525">
                    <a:noFill/>
                  </a:ln>
                </c:spPr>
              </sm:minMaxLine>
              <sm:stDevLine>
                <c:spPr>
                  <a:ln w="9525">
                    <a:noFill/>
                  </a:ln>
                </c:spPr>
              </sm:stDevLine>
              <sm:trendLine>
                <c:spPr>
                  <a:ln w="9525">
                    <a:noFill/>
                  </a:ln>
                </c:spPr>
              </sm:trendLine>
            </c:ext>
            <c:ext xmlns:c16="http://schemas.microsoft.com/office/drawing/2014/chart" uri="{C3380CC4-5D6E-409C-BE32-E72D297353CC}">
              <c16:uniqueId val="{00000000-3A4B-4457-9FD9-D66892DA4BF0}"/>
            </c:ext>
          </c:extLst>
        </c:ser>
        <c:ser>
          <c:idx val="1"/>
          <c:order val="1"/>
          <c:tx>
            <c:strRef>
              <c:f>Indicadores!$O$265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29292"/>
            </a:solidFill>
            <a:ln w="9525">
              <a:noFill/>
            </a:ln>
          </c:spPr>
          <c:invertIfNegative val="0"/>
          <c:dLbls>
            <c:spPr>
              <a:noFill/>
              <a:ln w="9525">
                <a:noFill/>
              </a:ln>
            </c:spPr>
            <c:txPr>
              <a:bodyPr/>
              <a:lstStyle/>
              <a:p>
                <a:pPr>
                  <a:defRPr lang="pt-BR" sz="800" b="0" i="0" u="none" strike="noStrike" kern="100">
                    <a:solidFill>
                      <a:srgbClr val="FFFFFF"/>
                    </a:solidFill>
                    <a:latin typeface="Verdana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Indicadores!$M$266:$M$272</c:f>
              <c:strCache>
                <c:ptCount val="7"/>
                <c:pt idx="0">
                  <c:v>Anderson</c:v>
                </c:pt>
                <c:pt idx="1">
                  <c:v>Diego Eller</c:v>
                </c:pt>
                <c:pt idx="2">
                  <c:v>Diego Ossanes</c:v>
                </c:pt>
                <c:pt idx="3">
                  <c:v>Gerson</c:v>
                </c:pt>
                <c:pt idx="4">
                  <c:v>João (Bnu)</c:v>
                </c:pt>
                <c:pt idx="5">
                  <c:v>Mery</c:v>
                </c:pt>
                <c:pt idx="6">
                  <c:v>Nailor</c:v>
                </c:pt>
              </c:strCache>
            </c:strRef>
          </c:cat>
          <c:val>
            <c:numRef>
              <c:f>Indicadores!$O$266:$O$272</c:f>
              <c:numCache>
                <c:formatCode>General</c:formatCode>
                <c:ptCount val="7"/>
                <c:pt idx="0">
                  <c:v>44</c:v>
                </c:pt>
                <c:pt idx="1">
                  <c:v>40</c:v>
                </c:pt>
                <c:pt idx="2">
                  <c:v>50</c:v>
                </c:pt>
                <c:pt idx="3">
                  <c:v>0</c:v>
                </c:pt>
                <c:pt idx="4">
                  <c:v>50</c:v>
                </c:pt>
                <c:pt idx="5">
                  <c:v>59</c:v>
                </c:pt>
                <c:pt idx="6">
                  <c:v>38</c:v>
                </c:pt>
              </c:numCache>
            </c:numRef>
          </c:val>
          <c:extLst xmlns:c16r2="http://schemas.microsoft.com/office/drawing/2015/06/chart">
            <c:ext xmlns:sm="smo" uri="smo">
              <sm:meanLine>
                <c:spPr>
                  <a:ln w="9525">
                    <a:noFill/>
                  </a:ln>
                </c:spPr>
              </sm:meanLine>
              <sm:minMaxLine>
                <c:spPr>
                  <a:ln w="9525">
                    <a:noFill/>
                  </a:ln>
                </c:spPr>
              </sm:minMaxLine>
              <sm:stDevLine>
                <c:spPr>
                  <a:ln w="9525">
                    <a:noFill/>
                  </a:ln>
                </c:spPr>
              </sm:stDevLine>
              <sm:trendLine>
                <c:spPr>
                  <a:ln w="9525">
                    <a:noFill/>
                  </a:ln>
                </c:spPr>
              </sm:trendLine>
            </c:ext>
            <c:ext xmlns:c16="http://schemas.microsoft.com/office/drawing/2014/chart" uri="{C3380CC4-5D6E-409C-BE32-E72D297353CC}">
              <c16:uniqueId val="{00000001-3A4B-4457-9FD9-D66892DA4BF0}"/>
            </c:ext>
          </c:extLst>
        </c:ser>
        <c:ser>
          <c:idx val="2"/>
          <c:order val="2"/>
          <c:tx>
            <c:strRef>
              <c:f>Indicadores!$P$265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C65AE"/>
            </a:solidFill>
            <a:ln w="9525">
              <a:noFill/>
            </a:ln>
          </c:spPr>
          <c:invertIfNegative val="0"/>
          <c:dLbls>
            <c:spPr>
              <a:noFill/>
              <a:ln w="9525">
                <a:noFill/>
              </a:ln>
            </c:spPr>
            <c:txPr>
              <a:bodyPr/>
              <a:lstStyle/>
              <a:p>
                <a:pPr>
                  <a:defRPr lang="pt-BR" sz="800" b="0" i="0" u="none" strike="noStrike" kern="100">
                    <a:solidFill>
                      <a:srgbClr val="FFFFFF"/>
                    </a:solidFill>
                    <a:latin typeface="Verdana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Indicadores!$M$266:$M$272</c:f>
              <c:strCache>
                <c:ptCount val="7"/>
                <c:pt idx="0">
                  <c:v>Anderson</c:v>
                </c:pt>
                <c:pt idx="1">
                  <c:v>Diego Eller</c:v>
                </c:pt>
                <c:pt idx="2">
                  <c:v>Diego Ossanes</c:v>
                </c:pt>
                <c:pt idx="3">
                  <c:v>Gerson</c:v>
                </c:pt>
                <c:pt idx="4">
                  <c:v>João (Bnu)</c:v>
                </c:pt>
                <c:pt idx="5">
                  <c:v>Mery</c:v>
                </c:pt>
                <c:pt idx="6">
                  <c:v>Nailor</c:v>
                </c:pt>
              </c:strCache>
            </c:strRef>
          </c:cat>
          <c:val>
            <c:numRef>
              <c:f>Indicadores!$P$266:$P$272</c:f>
              <c:numCache>
                <c:formatCode>General</c:formatCode>
                <c:ptCount val="7"/>
                <c:pt idx="0">
                  <c:v>35</c:v>
                </c:pt>
                <c:pt idx="1">
                  <c:v>37</c:v>
                </c:pt>
                <c:pt idx="2">
                  <c:v>34</c:v>
                </c:pt>
                <c:pt idx="3">
                  <c:v>34</c:v>
                </c:pt>
                <c:pt idx="4">
                  <c:v>30</c:v>
                </c:pt>
                <c:pt idx="5">
                  <c:v>38</c:v>
                </c:pt>
                <c:pt idx="6">
                  <c:v>35</c:v>
                </c:pt>
              </c:numCache>
            </c:numRef>
          </c:val>
          <c:extLst xmlns:c16r2="http://schemas.microsoft.com/office/drawing/2015/06/chart">
            <c:ext xmlns:sm="smo" uri="smo">
              <sm:meanLine>
                <c:spPr>
                  <a:ln w="9525">
                    <a:noFill/>
                  </a:ln>
                </c:spPr>
              </sm:meanLine>
              <sm:minMaxLine>
                <c:spPr>
                  <a:ln w="9525">
                    <a:noFill/>
                  </a:ln>
                </c:spPr>
              </sm:minMaxLine>
              <sm:stDevLine>
                <c:spPr>
                  <a:ln w="9525">
                    <a:noFill/>
                  </a:ln>
                </c:spPr>
              </sm:stDevLine>
              <sm:trendLine>
                <c:spPr>
                  <a:ln w="9525">
                    <a:noFill/>
                  </a:ln>
                </c:spPr>
              </sm:trendLine>
            </c:ext>
            <c:ext xmlns:c16="http://schemas.microsoft.com/office/drawing/2014/chart" uri="{C3380CC4-5D6E-409C-BE32-E72D297353CC}">
              <c16:uniqueId val="{00000002-3A4B-4457-9FD9-D66892DA4BF0}"/>
            </c:ext>
          </c:extLst>
        </c:ser>
        <c:ser>
          <c:idx val="3"/>
          <c:order val="3"/>
          <c:tx>
            <c:strRef>
              <c:f>Indicadores!$Q$265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8B8DF"/>
            </a:solidFill>
            <a:ln w="9525">
              <a:noFill/>
            </a:ln>
          </c:spPr>
          <c:invertIfNegative val="0"/>
          <c:dLbls>
            <c:spPr>
              <a:noFill/>
              <a:ln w="9525">
                <a:noFill/>
              </a:ln>
            </c:spPr>
            <c:txPr>
              <a:bodyPr/>
              <a:lstStyle/>
              <a:p>
                <a:pPr>
                  <a:defRPr lang="pt-BR" sz="800" b="0" i="0" u="none" strike="noStrike" kern="100">
                    <a:solidFill>
                      <a:srgbClr val="FFFFFF"/>
                    </a:solidFill>
                    <a:latin typeface="Verdana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Indicadores!$M$266:$M$272</c:f>
              <c:strCache>
                <c:ptCount val="7"/>
                <c:pt idx="0">
                  <c:v>Anderson</c:v>
                </c:pt>
                <c:pt idx="1">
                  <c:v>Diego Eller</c:v>
                </c:pt>
                <c:pt idx="2">
                  <c:v>Diego Ossanes</c:v>
                </c:pt>
                <c:pt idx="3">
                  <c:v>Gerson</c:v>
                </c:pt>
                <c:pt idx="4">
                  <c:v>João (Bnu)</c:v>
                </c:pt>
                <c:pt idx="5">
                  <c:v>Mery</c:v>
                </c:pt>
                <c:pt idx="6">
                  <c:v>Nailor</c:v>
                </c:pt>
              </c:strCache>
            </c:strRef>
          </c:cat>
          <c:val>
            <c:numRef>
              <c:f>Indicadores!$Q$266:$Q$272</c:f>
              <c:numCache>
                <c:formatCode>General</c:formatCode>
                <c:ptCount val="7"/>
                <c:pt idx="0">
                  <c:v>24</c:v>
                </c:pt>
                <c:pt idx="1">
                  <c:v>29</c:v>
                </c:pt>
                <c:pt idx="2">
                  <c:v>23</c:v>
                </c:pt>
                <c:pt idx="3">
                  <c:v>25</c:v>
                </c:pt>
                <c:pt idx="4">
                  <c:v>17</c:v>
                </c:pt>
                <c:pt idx="5">
                  <c:v>28</c:v>
                </c:pt>
                <c:pt idx="6">
                  <c:v>21</c:v>
                </c:pt>
              </c:numCache>
            </c:numRef>
          </c:val>
          <c:extLst xmlns:c16r2="http://schemas.microsoft.com/office/drawing/2015/06/chart">
            <c:ext xmlns:sm="smo" uri="smo">
              <sm:meanLine>
                <c:spPr>
                  <a:ln w="9525">
                    <a:noFill/>
                  </a:ln>
                </c:spPr>
              </sm:meanLine>
              <sm:minMaxLine>
                <c:spPr>
                  <a:ln w="9525">
                    <a:noFill/>
                  </a:ln>
                </c:spPr>
              </sm:minMaxLine>
              <sm:stDevLine>
                <c:spPr>
                  <a:ln w="9525">
                    <a:noFill/>
                  </a:ln>
                </c:spPr>
              </sm:stDevLine>
              <sm:trendLine>
                <c:spPr>
                  <a:ln w="9525">
                    <a:noFill/>
                  </a:ln>
                </c:spPr>
              </sm:trendLine>
            </c:ext>
            <c:ext xmlns:c16="http://schemas.microsoft.com/office/drawing/2014/chart" uri="{C3380CC4-5D6E-409C-BE32-E72D297353CC}">
              <c16:uniqueId val="{00000003-3A4B-4457-9FD9-D66892DA4BF0}"/>
            </c:ext>
          </c:extLst>
        </c:ser>
        <c:ser>
          <c:idx val="4"/>
          <c:order val="4"/>
          <c:tx>
            <c:strRef>
              <c:f>Indicadores!$R$265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BFBFBF"/>
            </a:solidFill>
            <a:ln w="9525">
              <a:noFill/>
            </a:ln>
          </c:spPr>
          <c:invertIfNegative val="0"/>
          <c:dLbls>
            <c:spPr>
              <a:noFill/>
              <a:ln w="9525">
                <a:noFill/>
              </a:ln>
            </c:spPr>
            <c:txPr>
              <a:bodyPr/>
              <a:lstStyle/>
              <a:p>
                <a:pPr>
                  <a:defRPr lang="pt-BR" sz="800" b="0" i="0" u="none" strike="noStrike" kern="100">
                    <a:solidFill>
                      <a:srgbClr val="FEE300"/>
                    </a:solidFill>
                    <a:latin typeface="Verdana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Indicadores!$M$266:$M$272</c:f>
              <c:strCache>
                <c:ptCount val="7"/>
                <c:pt idx="0">
                  <c:v>Anderson</c:v>
                </c:pt>
                <c:pt idx="1">
                  <c:v>Diego Eller</c:v>
                </c:pt>
                <c:pt idx="2">
                  <c:v>Diego Ossanes</c:v>
                </c:pt>
                <c:pt idx="3">
                  <c:v>Gerson</c:v>
                </c:pt>
                <c:pt idx="4">
                  <c:v>João (Bnu)</c:v>
                </c:pt>
                <c:pt idx="5">
                  <c:v>Mery</c:v>
                </c:pt>
                <c:pt idx="6">
                  <c:v>Nailor</c:v>
                </c:pt>
              </c:strCache>
            </c:strRef>
          </c:cat>
          <c:val>
            <c:numRef>
              <c:f>Indicadores!$R$266:$R$272</c:f>
              <c:numCache>
                <c:formatCode>General</c:formatCode>
                <c:ptCount val="7"/>
                <c:pt idx="0">
                  <c:v>18</c:v>
                </c:pt>
                <c:pt idx="1">
                  <c:v>20</c:v>
                </c:pt>
                <c:pt idx="2">
                  <c:v>16</c:v>
                </c:pt>
                <c:pt idx="3">
                  <c:v>15</c:v>
                </c:pt>
                <c:pt idx="4">
                  <c:v>0</c:v>
                </c:pt>
                <c:pt idx="5">
                  <c:v>22</c:v>
                </c:pt>
                <c:pt idx="6">
                  <c:v>14</c:v>
                </c:pt>
              </c:numCache>
            </c:numRef>
          </c:val>
          <c:extLst xmlns:c16r2="http://schemas.microsoft.com/office/drawing/2015/06/chart">
            <c:ext xmlns:sm="smo" uri="smo">
              <sm:meanLine>
                <c:spPr>
                  <a:ln w="9525">
                    <a:noFill/>
                  </a:ln>
                </c:spPr>
              </sm:meanLine>
              <sm:minMaxLine>
                <c:spPr>
                  <a:ln w="9525">
                    <a:noFill/>
                  </a:ln>
                </c:spPr>
              </sm:minMaxLine>
              <sm:stDevLine>
                <c:spPr>
                  <a:ln w="9525">
                    <a:noFill/>
                  </a:ln>
                </c:spPr>
              </sm:stDevLine>
              <sm:trendLine>
                <c:spPr>
                  <a:ln w="9525">
                    <a:noFill/>
                  </a:ln>
                </c:spPr>
              </sm:trendLine>
            </c:ext>
            <c:ext xmlns:c16="http://schemas.microsoft.com/office/drawing/2014/chart" uri="{C3380CC4-5D6E-409C-BE32-E72D297353CC}">
              <c16:uniqueId val="{00000004-3A4B-4457-9FD9-D66892DA4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497664"/>
        <c:axId val="140499200"/>
      </c:barChart>
      <c:catAx>
        <c:axId val="14049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solidFill>
              <a:srgbClr val="8B8B8B"/>
            </a:solidFill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40499200"/>
        <c:crosses val="autoZero"/>
        <c:auto val="1"/>
        <c:lblAlgn val="l"/>
        <c:lblOffset val="100"/>
        <c:noMultiLvlLbl val="0"/>
      </c:catAx>
      <c:valAx>
        <c:axId val="1404992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9525">
            <a:solidFill>
              <a:srgbClr val="8B8B8B"/>
            </a:solidFill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40497664"/>
        <c:crosses val="autoZero"/>
        <c:crossBetween val="between"/>
      </c:valAx>
      <c:spPr>
        <a:solidFill>
          <a:srgbClr val="0F4098"/>
        </a:solidFill>
        <a:ln w="19050">
          <a:noFill/>
        </a:ln>
      </c:spPr>
    </c:plotArea>
    <c:legend>
      <c:legendPos val="r"/>
      <c:overlay val="0"/>
      <c:spPr>
        <a:noFill/>
        <a:ln w="9525">
          <a:noFill/>
        </a:ln>
      </c:spPr>
      <c:txPr>
        <a:bodyPr/>
        <a:lstStyle/>
        <a:p>
          <a:pPr>
            <a:defRPr lang="pt-BR" sz="800" b="0" i="0" u="none" strike="noStrike" kern="100">
              <a:solidFill>
                <a:srgbClr val="000000"/>
              </a:solidFill>
              <a:latin typeface="Verdana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2F2F2"/>
    </a:solidFill>
    <a:ln w="19050">
      <a:solidFill>
        <a:srgbClr val="FFFFFF"/>
      </a:solidFill>
    </a:ln>
  </c:spPr>
  <c:txPr>
    <a:bodyPr rot="0" anchor="t"/>
    <a:lstStyle/>
    <a:p>
      <a:pPr>
        <a:defRPr lang="pt-BR" sz="1000" b="0" i="0" u="none" strike="noStrike" kern="100">
          <a:solidFill>
            <a:srgbClr val="000000"/>
          </a:solidFill>
          <a:latin typeface="Calibri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 xmlns:c16r2="http://schemas.microsoft.com/office/drawing/2015/06/chart">
    <c:ext xmlns:sm="smo" uri="smo">
      <sm:colorScheme xmlns:sm="smo" id="1624570504" val="15"/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 lang="pt-BR" sz="1400" b="1" i="0" u="none" strike="noStrike" kern="100">
                <a:solidFill>
                  <a:srgbClr val="000000"/>
                </a:solidFill>
                <a:latin typeface="Verdana" charset="0"/>
              </a:defRPr>
            </a:pPr>
            <a:r>
              <a:t>Comparativo na Escala de Economicidade</a:t>
            </a:r>
          </a:p>
        </c:rich>
      </c:tx>
      <c:overlay val="0"/>
      <c:spPr>
        <a:noFill/>
        <a:ln w="9525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9525">
              <a:noFill/>
            </a:ln>
          </c:spPr>
          <c:invertIfNegative val="0"/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427C-4F00-861A-28078015D6F6}"/>
              </c:ext>
            </c:extLst>
          </c:dPt>
          <c:dLbls>
            <c:numFmt formatCode="General" sourceLinked="0"/>
            <c:spPr>
              <a:noFill/>
              <a:ln w="9525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5"/>
              <c:pt idx="0">
                <c:v>168273448.56999999</c:v>
              </c:pt>
              <c:pt idx="1">
                <c:v>250281942.24000001</c:v>
              </c:pt>
              <c:pt idx="2">
                <c:v>245932450.58000001</c:v>
              </c:pt>
              <c:pt idx="3">
                <c:v>152604029.88999999</c:v>
              </c:pt>
              <c:pt idx="4">
                <c:v>5163175.67</c:v>
              </c:pt>
            </c:numLit>
          </c:val>
          <c:extLst xmlns:c16r2="http://schemas.microsoft.com/office/drawing/2015/06/chart">
            <c:ext xmlns:sm="smo" uri="smo">
              <sm:meanLine>
                <c:spPr>
                  <a:ln w="9525">
                    <a:noFill/>
                  </a:ln>
                </c:spPr>
              </sm:meanLine>
              <sm:minMaxLine>
                <c:spPr>
                  <a:ln w="9525">
                    <a:noFill/>
                  </a:ln>
                </c:spPr>
              </sm:minMaxLine>
              <sm:stDevLine>
                <c:spPr>
                  <a:ln w="9525">
                    <a:noFill/>
                  </a:ln>
                </c:spPr>
              </sm:stDevLine>
              <sm:trendLine>
                <c:spPr>
                  <a:ln w="9525">
                    <a:noFill/>
                  </a:ln>
                </c:spPr>
              </sm:trendLine>
            </c:ext>
            <c:ext xmlns:c16="http://schemas.microsoft.com/office/drawing/2014/chart" uri="{C3380CC4-5D6E-409C-BE32-E72D297353CC}">
              <c16:uniqueId val="{00000001-427C-4F00-861A-28078015D6F6}"/>
            </c:ext>
          </c:extLst>
        </c:ser>
        <c:ser>
          <c:idx val="1"/>
          <c:order val="1"/>
          <c:spPr>
            <a:solidFill>
              <a:srgbClr val="C0504D"/>
            </a:solidFill>
            <a:ln w="9525">
              <a:noFill/>
            </a:ln>
          </c:spPr>
          <c:invertIfNegative val="0"/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427C-4F00-861A-28078015D6F6}"/>
              </c:ext>
            </c:extLst>
          </c:dPt>
          <c:dLbls>
            <c:numFmt formatCode="General" sourceLinked="0"/>
            <c:spPr>
              <a:noFill/>
              <a:ln w="9525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5"/>
              <c:pt idx="0">
                <c:v>91007128.439999998</c:v>
              </c:pt>
              <c:pt idx="1">
                <c:v>147491991.37</c:v>
              </c:pt>
              <c:pt idx="2">
                <c:v>200040704.22</c:v>
              </c:pt>
              <c:pt idx="3">
                <c:v>62870310.890000001</c:v>
              </c:pt>
              <c:pt idx="4">
                <c:v>3581537.44</c:v>
              </c:pt>
            </c:numLit>
          </c:val>
          <c:extLst xmlns:c16r2="http://schemas.microsoft.com/office/drawing/2015/06/chart">
            <c:ext xmlns:sm="smo" uri="smo">
              <sm:meanLine>
                <c:spPr>
                  <a:ln w="9525">
                    <a:noFill/>
                  </a:ln>
                </c:spPr>
              </sm:meanLine>
              <sm:minMaxLine>
                <c:spPr>
                  <a:ln w="9525">
                    <a:noFill/>
                  </a:ln>
                </c:spPr>
              </sm:minMaxLine>
              <sm:stDevLine>
                <c:spPr>
                  <a:ln w="9525">
                    <a:noFill/>
                  </a:ln>
                </c:spPr>
              </sm:stDevLine>
              <sm:trendLine>
                <c:spPr>
                  <a:ln w="9525">
                    <a:noFill/>
                  </a:ln>
                </c:spPr>
              </sm:trendLine>
            </c:ext>
            <c:ext xmlns:c16="http://schemas.microsoft.com/office/drawing/2014/chart" uri="{C3380CC4-5D6E-409C-BE32-E72D297353CC}">
              <c16:uniqueId val="{00000003-427C-4F00-861A-28078015D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40617216"/>
        <c:axId val="140618752"/>
      </c:barChart>
      <c:catAx>
        <c:axId val="14061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8B8B8B"/>
            </a:solidFill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40618752"/>
        <c:crosses val="autoZero"/>
        <c:auto val="1"/>
        <c:lblAlgn val="l"/>
        <c:lblOffset val="100"/>
        <c:noMultiLvlLbl val="0"/>
      </c:catAx>
      <c:valAx>
        <c:axId val="140618752"/>
        <c:scaling>
          <c:orientation val="minMax"/>
        </c:scaling>
        <c:delete val="1"/>
        <c:axPos val="l"/>
        <c:numFmt formatCode="&quot; R$&quot;* #,##0.00\ ;&quot; R$&quot;* \(#,##0.00\);&quot; R$&quot;* \-#\ ;@\ " sourceLinked="0"/>
        <c:majorTickMark val="out"/>
        <c:minorTickMark val="none"/>
        <c:tickLblPos val="none"/>
        <c:crossAx val="140617216"/>
        <c:crosses val="autoZero"/>
        <c:crossBetween val="between"/>
      </c:valAx>
      <c:spPr>
        <a:solidFill>
          <a:srgbClr val="0F4098"/>
        </a:solidFill>
        <a:ln w="28575">
          <a:noFill/>
        </a:ln>
      </c:spPr>
    </c:plotArea>
    <c:legend>
      <c:legendPos val="t"/>
      <c:overlay val="0"/>
      <c:spPr>
        <a:noFill/>
        <a:ln w="9525">
          <a:noFill/>
        </a:ln>
      </c:spPr>
      <c:txPr>
        <a:bodyPr/>
        <a:lstStyle/>
        <a:p>
          <a:pPr>
            <a:defRPr lang="pt-BR" sz="800" b="0" i="0" u="none" strike="noStrike" kern="100">
              <a:solidFill>
                <a:srgbClr val="000000"/>
              </a:solidFill>
              <a:latin typeface="Verdana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2F2F2"/>
    </a:solidFill>
    <a:ln w="19050">
      <a:solidFill>
        <a:srgbClr val="FFFFFF"/>
      </a:solidFill>
    </a:ln>
  </c:spPr>
  <c:txPr>
    <a:bodyPr rot="0" anchor="t"/>
    <a:lstStyle/>
    <a:p>
      <a:pPr>
        <a:defRPr lang="pt-BR" sz="1000" b="0" i="0" u="none" strike="noStrike" kern="100">
          <a:solidFill>
            <a:srgbClr val="000000"/>
          </a:solidFill>
          <a:latin typeface="Calibri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 xmlns:c16r2="http://schemas.microsoft.com/office/drawing/2015/06/chart">
    <c:ext xmlns:sm="smo" uri="smo">
      <sm:colorScheme xmlns:sm="smo" id="1624570504" val="15"/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 lang="pt-BR" sz="1400" b="1" i="0" u="none" strike="noStrike" kern="100">
                <a:solidFill>
                  <a:srgbClr val="000000"/>
                </a:solidFill>
                <a:latin typeface="Verdana" charset="0"/>
              </a:defRPr>
            </a:pPr>
            <a:r>
              <a:t>Certames com Demandas Judiciais</a:t>
            </a:r>
          </a:p>
        </c:rich>
      </c:tx>
      <c:layout>
        <c:manualLayout>
          <c:xMode val="edge"/>
          <c:yMode val="edge"/>
          <c:x val="0"/>
          <c:y val="2.2499999999999998E-3"/>
        </c:manualLayout>
      </c:layout>
      <c:overlay val="0"/>
      <c:spPr>
        <a:noFill/>
        <a:ln w="9525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EE300"/>
            </a:solidFill>
            <a:ln w="9525">
              <a:noFill/>
            </a:ln>
          </c:spPr>
          <c:invertIfNegative val="0"/>
          <c:dLbls>
            <c:spPr>
              <a:noFill/>
              <a:ln w="9525">
                <a:noFill/>
              </a:ln>
            </c:spPr>
            <c:txPr>
              <a:bodyPr/>
              <a:lstStyle/>
              <a:p>
                <a:pPr>
                  <a:defRPr lang="pt-BR" sz="800" b="0" i="0" u="none" strike="noStrike" kern="100">
                    <a:solidFill>
                      <a:srgbClr val="FFFFFF"/>
                    </a:solidFill>
                    <a:latin typeface="Verdana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Indicadores!$H$288:$H$289</c:f>
              <c:strCache>
                <c:ptCount val="2"/>
                <c:pt idx="0">
                  <c:v>Total de Processos</c:v>
                </c:pt>
                <c:pt idx="1">
                  <c:v>Processos com Demanda Judicial</c:v>
                </c:pt>
              </c:strCache>
            </c:strRef>
          </c:cat>
          <c:val>
            <c:numRef>
              <c:f>Indicadores!$I$288:$I$289</c:f>
              <c:numCache>
                <c:formatCode>General</c:formatCode>
                <c:ptCount val="2"/>
                <c:pt idx="0">
                  <c:v>105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sm="smo" uri="smo">
              <sm:meanLine>
                <c:spPr>
                  <a:ln w="9525">
                    <a:noFill/>
                  </a:ln>
                </c:spPr>
              </sm:meanLine>
              <sm:minMaxLine>
                <c:spPr>
                  <a:ln w="9525">
                    <a:noFill/>
                  </a:ln>
                </c:spPr>
              </sm:minMaxLine>
              <sm:stDevLine>
                <c:spPr>
                  <a:ln w="9525">
                    <a:noFill/>
                  </a:ln>
                </c:spPr>
              </sm:stDevLine>
              <sm:trendLine>
                <c:spPr>
                  <a:ln w="9525">
                    <a:noFill/>
                  </a:ln>
                </c:spPr>
              </sm:trendLine>
            </c:ext>
            <c:ext xmlns:c16="http://schemas.microsoft.com/office/drawing/2014/chart" uri="{C3380CC4-5D6E-409C-BE32-E72D297353CC}">
              <c16:uniqueId val="{00000000-023C-4AF9-961A-24DC11AB3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1189120"/>
        <c:axId val="141190656"/>
      </c:barChart>
      <c:catAx>
        <c:axId val="14118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F2F2F2"/>
            </a:solidFill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41190656"/>
        <c:crosses val="autoZero"/>
        <c:auto val="1"/>
        <c:lblAlgn val="l"/>
        <c:lblOffset val="100"/>
        <c:noMultiLvlLbl val="0"/>
      </c:catAx>
      <c:valAx>
        <c:axId val="14119065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41189120"/>
        <c:crosses val="autoZero"/>
        <c:crossBetween val="between"/>
      </c:valAx>
      <c:spPr>
        <a:solidFill>
          <a:srgbClr val="0F4098"/>
        </a:solidFill>
        <a:ln w="9525">
          <a:noFill/>
        </a:ln>
      </c:spPr>
    </c:plotArea>
    <c:plotVisOnly val="1"/>
    <c:dispBlanksAs val="gap"/>
    <c:showDLblsOverMax val="0"/>
  </c:chart>
  <c:spPr>
    <a:solidFill>
      <a:srgbClr val="F2F2F2"/>
    </a:solidFill>
    <a:ln w="19050">
      <a:solidFill>
        <a:srgbClr val="FFFFFF"/>
      </a:solidFill>
    </a:ln>
  </c:spPr>
  <c:txPr>
    <a:bodyPr rot="0" anchor="t"/>
    <a:lstStyle/>
    <a:p>
      <a:pPr>
        <a:defRPr lang="pt-BR" sz="1000" b="0" i="0" u="none" strike="noStrike" kern="100">
          <a:solidFill>
            <a:srgbClr val="000000"/>
          </a:solidFill>
          <a:latin typeface="Calibri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 xmlns:c16r2="http://schemas.microsoft.com/office/drawing/2015/06/chart">
    <c:ext xmlns:sm="smo" uri="smo">
      <sm:colorScheme xmlns:sm="smo" id="1624570504" val="15"/>
    </c:ext>
  </c:extLs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 lang="pt-BR" sz="1400" b="1" i="0" u="none" strike="noStrike" kern="100">
                <a:solidFill>
                  <a:srgbClr val="000000"/>
                </a:solidFill>
                <a:latin typeface="Verdana" charset="0"/>
              </a:defRPr>
            </a:pPr>
            <a:r>
              <a:t>Ato Judicial</a:t>
            </a:r>
          </a:p>
        </c:rich>
      </c:tx>
      <c:layout>
        <c:manualLayout>
          <c:xMode val="edge"/>
          <c:yMode val="edge"/>
          <c:x val="2.5000000000000001E-4"/>
          <c:y val="1.5E-3"/>
        </c:manualLayout>
      </c:layout>
      <c:overlay val="0"/>
      <c:spPr>
        <a:noFill/>
        <a:ln w="9525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9525">
              <a:noFill/>
            </a:ln>
          </c:spPr>
          <c:invertIfNegative val="0"/>
          <c:dLbls>
            <c:spPr>
              <a:noFill/>
              <a:ln w="9525">
                <a:noFill/>
              </a:ln>
            </c:spPr>
            <c:txPr>
              <a:bodyPr/>
              <a:lstStyle/>
              <a:p>
                <a:pPr>
                  <a:defRPr lang="pt-BR" sz="800" b="0" i="0" u="none" strike="noStrike" kern="100">
                    <a:solidFill>
                      <a:srgbClr val="FFFFFF"/>
                    </a:solidFill>
                    <a:latin typeface="Verdana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Indicadores!$H$293:$H$294</c:f>
              <c:strCache>
                <c:ptCount val="2"/>
                <c:pt idx="0">
                  <c:v>Deferido</c:v>
                </c:pt>
                <c:pt idx="1">
                  <c:v>Indeferido</c:v>
                </c:pt>
              </c:strCache>
            </c:strRef>
          </c:cat>
          <c:val>
            <c:numRef>
              <c:f>Indicadores!$I$293:$I$294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sm="smo" uri="smo">
              <sm:meanLine>
                <c:spPr>
                  <a:ln w="9525">
                    <a:noFill/>
                  </a:ln>
                </c:spPr>
              </sm:meanLine>
              <sm:minMaxLine>
                <c:spPr>
                  <a:ln w="9525">
                    <a:noFill/>
                  </a:ln>
                </c:spPr>
              </sm:minMaxLine>
              <sm:stDevLine>
                <c:spPr>
                  <a:ln w="9525">
                    <a:noFill/>
                  </a:ln>
                </c:spPr>
              </sm:stDevLine>
              <sm:trendLine>
                <c:spPr>
                  <a:ln w="9525">
                    <a:noFill/>
                  </a:ln>
                </c:spPr>
              </sm:trendLine>
            </c:ext>
            <c:ext xmlns:c16="http://schemas.microsoft.com/office/drawing/2014/chart" uri="{C3380CC4-5D6E-409C-BE32-E72D297353CC}">
              <c16:uniqueId val="{00000000-0FD8-424B-ADCC-793FEACC3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1223808"/>
        <c:axId val="141225344"/>
      </c:barChart>
      <c:catAx>
        <c:axId val="14122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F2F2F2"/>
            </a:solidFill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41225344"/>
        <c:crosses val="autoZero"/>
        <c:auto val="1"/>
        <c:lblAlgn val="l"/>
        <c:lblOffset val="100"/>
        <c:noMultiLvlLbl val="0"/>
      </c:catAx>
      <c:valAx>
        <c:axId val="14122534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41223808"/>
        <c:crosses val="autoZero"/>
        <c:crossBetween val="between"/>
      </c:valAx>
      <c:spPr>
        <a:solidFill>
          <a:srgbClr val="0F4098"/>
        </a:solidFill>
        <a:ln w="9525">
          <a:noFill/>
        </a:ln>
      </c:spPr>
    </c:plotArea>
    <c:plotVisOnly val="1"/>
    <c:dispBlanksAs val="gap"/>
    <c:showDLblsOverMax val="0"/>
  </c:chart>
  <c:spPr>
    <a:solidFill>
      <a:srgbClr val="F2F2F2"/>
    </a:solidFill>
    <a:ln w="19050">
      <a:solidFill>
        <a:srgbClr val="FFFFFF"/>
      </a:solidFill>
    </a:ln>
  </c:spPr>
  <c:txPr>
    <a:bodyPr rot="0" anchor="t"/>
    <a:lstStyle/>
    <a:p>
      <a:pPr>
        <a:defRPr lang="pt-BR" sz="1000" b="0" i="0" u="none" strike="noStrike" kern="100">
          <a:solidFill>
            <a:srgbClr val="000000"/>
          </a:solidFill>
          <a:latin typeface="Calibri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 xmlns:c16r2="http://schemas.microsoft.com/office/drawing/2015/06/chart">
    <c:ext xmlns:sm="smo" uri="smo">
      <sm:colorScheme xmlns:sm="smo" id="1624570504" val="15"/>
    </c:ext>
  </c:extLs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 lang="pt-BR" sz="1400" b="1" i="0" u="none" strike="noStrike" kern="100">
                <a:solidFill>
                  <a:srgbClr val="000000"/>
                </a:solidFill>
                <a:latin typeface="Verdana" charset="0"/>
              </a:defRPr>
            </a:pPr>
            <a:r>
              <a:t>Impugnações por Modalidade Licitatória</a:t>
            </a:r>
          </a:p>
        </c:rich>
      </c:tx>
      <c:layout>
        <c:manualLayout>
          <c:xMode val="edge"/>
          <c:yMode val="edge"/>
          <c:x val="0"/>
          <c:y val="2E-3"/>
        </c:manualLayout>
      </c:layout>
      <c:overlay val="0"/>
      <c:spPr>
        <a:noFill/>
        <a:ln w="9525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9525">
              <a:noFill/>
            </a:ln>
          </c:spPr>
          <c:invertIfNegative val="0"/>
          <c:dLbls>
            <c:spPr>
              <a:noFill/>
              <a:ln w="9525">
                <a:noFill/>
              </a:ln>
            </c:spPr>
            <c:txPr>
              <a:bodyPr/>
              <a:lstStyle/>
              <a:p>
                <a:pPr>
                  <a:defRPr lang="pt-BR" sz="800" b="0" i="0" u="none" strike="noStrike" kern="100">
                    <a:solidFill>
                      <a:srgbClr val="FFFFFF"/>
                    </a:solidFill>
                    <a:latin typeface="Verdana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Indicadores!$H$306:$H$311</c:f>
              <c:strCache>
                <c:ptCount val="6"/>
                <c:pt idx="0">
                  <c:v>Total de Impugnações</c:v>
                </c:pt>
                <c:pt idx="1">
                  <c:v>Pregão Elet. Conc.</c:v>
                </c:pt>
                <c:pt idx="2">
                  <c:v>Leilão</c:v>
                </c:pt>
                <c:pt idx="3">
                  <c:v>Pregão Elet. - SRP</c:v>
                </c:pt>
                <c:pt idx="4">
                  <c:v>Pregão Elet. - Tradicional</c:v>
                </c:pt>
                <c:pt idx="5">
                  <c:v>RDC</c:v>
                </c:pt>
              </c:strCache>
            </c:strRef>
          </c:cat>
          <c:val>
            <c:numRef>
              <c:f>Indicadores!$I$306:$I$311</c:f>
              <c:numCache>
                <c:formatCode>General</c:formatCode>
                <c:ptCount val="6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sm="smo" uri="smo">
              <sm:meanLine>
                <c:spPr>
                  <a:ln w="9525">
                    <a:noFill/>
                  </a:ln>
                </c:spPr>
              </sm:meanLine>
              <sm:minMaxLine>
                <c:spPr>
                  <a:ln w="9525">
                    <a:noFill/>
                  </a:ln>
                </c:spPr>
              </sm:minMaxLine>
              <sm:stDevLine>
                <c:spPr>
                  <a:ln w="9525">
                    <a:noFill/>
                  </a:ln>
                </c:spPr>
              </sm:stDevLine>
              <sm:trendLine>
                <c:spPr>
                  <a:ln w="9525">
                    <a:noFill/>
                  </a:ln>
                </c:spPr>
              </sm:trendLine>
            </c:ext>
            <c:ext xmlns:c16="http://schemas.microsoft.com/office/drawing/2014/chart" uri="{C3380CC4-5D6E-409C-BE32-E72D297353CC}">
              <c16:uniqueId val="{00000000-17B8-4EAE-9CBA-794CD989A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0873728"/>
        <c:axId val="140875264"/>
      </c:barChart>
      <c:catAx>
        <c:axId val="14087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F2F2F2"/>
            </a:solidFill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40875264"/>
        <c:crosses val="autoZero"/>
        <c:auto val="1"/>
        <c:lblAlgn val="l"/>
        <c:lblOffset val="100"/>
        <c:noMultiLvlLbl val="0"/>
      </c:catAx>
      <c:valAx>
        <c:axId val="14087526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40873728"/>
        <c:crosses val="autoZero"/>
        <c:crossBetween val="between"/>
      </c:valAx>
      <c:spPr>
        <a:solidFill>
          <a:srgbClr val="0F4098"/>
        </a:solidFill>
        <a:ln w="9525">
          <a:noFill/>
        </a:ln>
      </c:spPr>
    </c:plotArea>
    <c:plotVisOnly val="1"/>
    <c:dispBlanksAs val="gap"/>
    <c:showDLblsOverMax val="0"/>
  </c:chart>
  <c:spPr>
    <a:solidFill>
      <a:srgbClr val="F2F2F2"/>
    </a:solidFill>
    <a:ln w="19050">
      <a:solidFill>
        <a:srgbClr val="FFFFFF"/>
      </a:solidFill>
    </a:ln>
  </c:spPr>
  <c:txPr>
    <a:bodyPr rot="0" anchor="t"/>
    <a:lstStyle/>
    <a:p>
      <a:pPr>
        <a:defRPr lang="pt-BR" sz="1000" b="0" i="0" u="none" strike="noStrike" kern="100">
          <a:solidFill>
            <a:srgbClr val="000000"/>
          </a:solidFill>
          <a:latin typeface="Calibri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 xmlns:c16r2="http://schemas.microsoft.com/office/drawing/2015/06/chart">
    <c:ext xmlns:sm="smo" uri="smo">
      <sm:colorScheme xmlns:sm="smo" id="1624570504" val="15"/>
    </c:ext>
  </c:extLs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 lang="pt-BR" sz="1400" b="1" i="0" u="none" strike="noStrike" kern="100">
                <a:solidFill>
                  <a:srgbClr val="000000"/>
                </a:solidFill>
                <a:latin typeface="Verdana" charset="0"/>
              </a:defRPr>
            </a:pPr>
            <a:r>
              <a:t>Impugnações Pertinentes por Modalidade Licitatória</a:t>
            </a:r>
          </a:p>
        </c:rich>
      </c:tx>
      <c:layout>
        <c:manualLayout>
          <c:xMode val="edge"/>
          <c:yMode val="edge"/>
          <c:x val="0"/>
          <c:y val="2E-3"/>
        </c:manualLayout>
      </c:layout>
      <c:overlay val="0"/>
      <c:spPr>
        <a:noFill/>
        <a:ln w="9525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9525">
              <a:noFill/>
            </a:ln>
          </c:spPr>
          <c:invertIfNegative val="0"/>
          <c:dLbls>
            <c:spPr>
              <a:noFill/>
              <a:ln w="9525">
                <a:noFill/>
              </a:ln>
            </c:spPr>
            <c:txPr>
              <a:bodyPr/>
              <a:lstStyle/>
              <a:p>
                <a:pPr>
                  <a:defRPr lang="pt-BR" sz="800" b="0" i="0" u="none" strike="noStrike" kern="100">
                    <a:solidFill>
                      <a:srgbClr val="FFFFFF"/>
                    </a:solidFill>
                    <a:latin typeface="Verdana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Indicadores!$H$314:$H$319</c:f>
              <c:strCache>
                <c:ptCount val="6"/>
                <c:pt idx="0">
                  <c:v>Total de Impugnações Pertinentes</c:v>
                </c:pt>
                <c:pt idx="1">
                  <c:v>Pregão Elet. Conc.</c:v>
                </c:pt>
                <c:pt idx="2">
                  <c:v>Leilão</c:v>
                </c:pt>
                <c:pt idx="3">
                  <c:v>Pregão Elet. - SRP</c:v>
                </c:pt>
                <c:pt idx="4">
                  <c:v>Pregão Elet. - Tradicional</c:v>
                </c:pt>
                <c:pt idx="5">
                  <c:v>RDC</c:v>
                </c:pt>
              </c:strCache>
            </c:strRef>
          </c:cat>
          <c:val>
            <c:numRef>
              <c:f>Indicadores!$I$314:$I$319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sm="smo" uri="smo">
              <sm:meanLine>
                <c:spPr>
                  <a:ln w="9525">
                    <a:noFill/>
                  </a:ln>
                </c:spPr>
              </sm:meanLine>
              <sm:minMaxLine>
                <c:spPr>
                  <a:ln w="9525">
                    <a:noFill/>
                  </a:ln>
                </c:spPr>
              </sm:minMaxLine>
              <sm:stDevLine>
                <c:spPr>
                  <a:ln w="9525">
                    <a:noFill/>
                  </a:ln>
                </c:spPr>
              </sm:stDevLine>
              <sm:trendLine>
                <c:spPr>
                  <a:ln w="9525">
                    <a:noFill/>
                  </a:ln>
                </c:spPr>
              </sm:trendLine>
            </c:ext>
            <c:ext xmlns:c16="http://schemas.microsoft.com/office/drawing/2014/chart" uri="{C3380CC4-5D6E-409C-BE32-E72D297353CC}">
              <c16:uniqueId val="{00000000-A9B4-4C55-B92A-AB5F5AF7BE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0969856"/>
        <c:axId val="140971392"/>
      </c:barChart>
      <c:catAx>
        <c:axId val="14096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F2F2F2"/>
            </a:solidFill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40971392"/>
        <c:crosses val="autoZero"/>
        <c:auto val="1"/>
        <c:lblAlgn val="l"/>
        <c:lblOffset val="100"/>
        <c:noMultiLvlLbl val="0"/>
      </c:catAx>
      <c:valAx>
        <c:axId val="14097139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40969856"/>
        <c:crosses val="autoZero"/>
        <c:crossBetween val="between"/>
      </c:valAx>
      <c:spPr>
        <a:solidFill>
          <a:srgbClr val="0F4098"/>
        </a:solidFill>
        <a:ln w="9525">
          <a:noFill/>
        </a:ln>
      </c:spPr>
    </c:plotArea>
    <c:plotVisOnly val="1"/>
    <c:dispBlanksAs val="gap"/>
    <c:showDLblsOverMax val="0"/>
  </c:chart>
  <c:spPr>
    <a:solidFill>
      <a:srgbClr val="F2F2F2"/>
    </a:solidFill>
    <a:ln w="19050">
      <a:solidFill>
        <a:srgbClr val="FFFFFF"/>
      </a:solidFill>
    </a:ln>
  </c:spPr>
  <c:txPr>
    <a:bodyPr rot="0" anchor="t"/>
    <a:lstStyle/>
    <a:p>
      <a:pPr>
        <a:defRPr lang="pt-BR" sz="1000" b="0" i="0" u="none" strike="noStrike" kern="100">
          <a:solidFill>
            <a:srgbClr val="000000"/>
          </a:solidFill>
          <a:latin typeface="Calibri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 xmlns:c16r2="http://schemas.microsoft.com/office/drawing/2015/06/chart">
    <c:ext xmlns:sm="smo" uri="smo">
      <sm:colorScheme xmlns:sm="smo" id="1624570504" val="15"/>
    </c:ext>
  </c:extLst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 lang="pt-BR" sz="1400" b="1" i="0" u="none" strike="noStrike" kern="100">
                <a:solidFill>
                  <a:srgbClr val="000000"/>
                </a:solidFill>
                <a:latin typeface="Verdana" charset="0"/>
              </a:defRPr>
            </a:pPr>
            <a:r>
              <a:t>Recursos Administrativos por Modalidade Licitatória</a:t>
            </a:r>
          </a:p>
        </c:rich>
      </c:tx>
      <c:layout>
        <c:manualLayout>
          <c:xMode val="edge"/>
          <c:yMode val="edge"/>
          <c:x val="0"/>
          <c:y val="2E-3"/>
        </c:manualLayout>
      </c:layout>
      <c:overlay val="0"/>
      <c:spPr>
        <a:noFill/>
        <a:ln w="9525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9525">
              <a:noFill/>
            </a:ln>
          </c:spPr>
          <c:invertIfNegative val="0"/>
          <c:dLbls>
            <c:spPr>
              <a:noFill/>
              <a:ln w="9525">
                <a:noFill/>
              </a:ln>
            </c:spPr>
            <c:txPr>
              <a:bodyPr/>
              <a:lstStyle/>
              <a:p>
                <a:pPr>
                  <a:defRPr lang="pt-BR" sz="800" b="0" i="0" u="none" strike="noStrike" kern="100">
                    <a:solidFill>
                      <a:srgbClr val="FFFFFF"/>
                    </a:solidFill>
                    <a:latin typeface="Verdana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Indicadores!$H$328:$H$333</c:f>
              <c:strCache>
                <c:ptCount val="6"/>
                <c:pt idx="0">
                  <c:v>Total de Recursos</c:v>
                </c:pt>
                <c:pt idx="1">
                  <c:v>Pregão Elet. Conc.</c:v>
                </c:pt>
                <c:pt idx="2">
                  <c:v>Leilão</c:v>
                </c:pt>
                <c:pt idx="3">
                  <c:v>Pregão Elet. - SRP</c:v>
                </c:pt>
                <c:pt idx="4">
                  <c:v>Pregão Elet. - Tradicional</c:v>
                </c:pt>
                <c:pt idx="5">
                  <c:v>RDC</c:v>
                </c:pt>
              </c:strCache>
            </c:strRef>
          </c:cat>
          <c:val>
            <c:numRef>
              <c:f>Indicadores!$I$328:$I$333</c:f>
              <c:numCache>
                <c:formatCode>General</c:formatCode>
                <c:ptCount val="6"/>
                <c:pt idx="0">
                  <c:v>19</c:v>
                </c:pt>
                <c:pt idx="1">
                  <c:v>0</c:v>
                </c:pt>
                <c:pt idx="2">
                  <c:v>0</c:v>
                </c:pt>
                <c:pt idx="3">
                  <c:v>18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sm="smo" uri="smo">
              <sm:meanLine>
                <c:spPr>
                  <a:ln w="9525">
                    <a:noFill/>
                  </a:ln>
                </c:spPr>
              </sm:meanLine>
              <sm:minMaxLine>
                <c:spPr>
                  <a:ln w="9525">
                    <a:noFill/>
                  </a:ln>
                </c:spPr>
              </sm:minMaxLine>
              <sm:stDevLine>
                <c:spPr>
                  <a:ln w="9525">
                    <a:noFill/>
                  </a:ln>
                </c:spPr>
              </sm:stDevLine>
              <sm:trendLine>
                <c:spPr>
                  <a:ln w="9525">
                    <a:noFill/>
                  </a:ln>
                </c:spPr>
              </sm:trendLine>
            </c:ext>
            <c:ext xmlns:c16="http://schemas.microsoft.com/office/drawing/2014/chart" uri="{C3380CC4-5D6E-409C-BE32-E72D297353CC}">
              <c16:uniqueId val="{00000000-60CA-45B9-8F7B-C90AD236C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1025280"/>
        <c:axId val="141026816"/>
      </c:barChart>
      <c:catAx>
        <c:axId val="14102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F2F2F2"/>
            </a:solidFill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41026816"/>
        <c:crosses val="autoZero"/>
        <c:auto val="1"/>
        <c:lblAlgn val="l"/>
        <c:lblOffset val="100"/>
        <c:noMultiLvlLbl val="0"/>
      </c:catAx>
      <c:valAx>
        <c:axId val="14102681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41025280"/>
        <c:crosses val="autoZero"/>
        <c:crossBetween val="between"/>
      </c:valAx>
      <c:spPr>
        <a:solidFill>
          <a:srgbClr val="0F4098"/>
        </a:solidFill>
        <a:ln w="9525">
          <a:noFill/>
        </a:ln>
      </c:spPr>
    </c:plotArea>
    <c:plotVisOnly val="1"/>
    <c:dispBlanksAs val="gap"/>
    <c:showDLblsOverMax val="0"/>
  </c:chart>
  <c:spPr>
    <a:solidFill>
      <a:srgbClr val="F2F2F2"/>
    </a:solidFill>
    <a:ln w="19050">
      <a:solidFill>
        <a:srgbClr val="FFFFFF"/>
      </a:solidFill>
    </a:ln>
  </c:spPr>
  <c:txPr>
    <a:bodyPr rot="0" anchor="t"/>
    <a:lstStyle/>
    <a:p>
      <a:pPr>
        <a:defRPr lang="pt-BR" sz="1000" b="0" i="0" u="none" strike="noStrike" kern="100">
          <a:solidFill>
            <a:srgbClr val="000000"/>
          </a:solidFill>
          <a:latin typeface="Calibri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 xmlns:c16r2="http://schemas.microsoft.com/office/drawing/2015/06/chart">
    <c:ext xmlns:sm="smo" uri="smo">
      <sm:colorScheme xmlns:sm="smo" id="1624570504" val="15"/>
    </c:ext>
  </c:extLst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 lang="pt-BR" sz="1400" b="1" i="0" u="none" strike="noStrike" kern="100">
                <a:solidFill>
                  <a:srgbClr val="000000"/>
                </a:solidFill>
                <a:latin typeface="Verdana" charset="0"/>
              </a:defRPr>
            </a:pPr>
            <a:r>
              <a:t>Recursos Adminsitrativos Pertinentes </a:t>
            </a:r>
          </a:p>
          <a:p>
            <a:pPr>
              <a:defRPr lang="pt-BR" sz="1400" b="1" i="0" u="none" strike="noStrike" kern="100">
                <a:solidFill>
                  <a:srgbClr val="000000"/>
                </a:solidFill>
                <a:latin typeface="Verdana" charset="0"/>
              </a:defRPr>
            </a:pPr>
            <a:r>
              <a:t>por Modalidade Licitatória</a:t>
            </a:r>
          </a:p>
        </c:rich>
      </c:tx>
      <c:layout>
        <c:manualLayout>
          <c:xMode val="edge"/>
          <c:yMode val="edge"/>
          <c:x val="0"/>
          <c:y val="5.0000000000000001E-4"/>
        </c:manualLayout>
      </c:layout>
      <c:overlay val="0"/>
      <c:spPr>
        <a:noFill/>
        <a:ln w="9525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9525">
              <a:noFill/>
            </a:ln>
          </c:spPr>
          <c:invertIfNegative val="0"/>
          <c:dLbls>
            <c:spPr>
              <a:noFill/>
              <a:ln w="9525">
                <a:noFill/>
              </a:ln>
            </c:spPr>
            <c:txPr>
              <a:bodyPr/>
              <a:lstStyle/>
              <a:p>
                <a:pPr>
                  <a:defRPr lang="pt-BR" sz="800" b="0" i="0" u="none" strike="noStrike" kern="100">
                    <a:solidFill>
                      <a:srgbClr val="FFFFFF"/>
                    </a:solidFill>
                    <a:latin typeface="Verdana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Indicadores!$H$336:$H$341</c:f>
              <c:strCache>
                <c:ptCount val="6"/>
                <c:pt idx="0">
                  <c:v>Total de Recursos Pertinentes</c:v>
                </c:pt>
                <c:pt idx="1">
                  <c:v>Pregão Elet. Conc.</c:v>
                </c:pt>
                <c:pt idx="2">
                  <c:v>Leilão</c:v>
                </c:pt>
                <c:pt idx="3">
                  <c:v>Pregão Elet. - SRP</c:v>
                </c:pt>
                <c:pt idx="4">
                  <c:v>Pregão Elet. - Tradicional</c:v>
                </c:pt>
                <c:pt idx="5">
                  <c:v>RDC</c:v>
                </c:pt>
              </c:strCache>
            </c:strRef>
          </c:cat>
          <c:val>
            <c:numRef>
              <c:f>Indicadores!$I$336:$I$341</c:f>
              <c:numCache>
                <c:formatCode>General</c:formatCode>
                <c:ptCount val="6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sm="smo" uri="smo">
              <sm:meanLine>
                <c:spPr>
                  <a:ln w="9525">
                    <a:noFill/>
                  </a:ln>
                </c:spPr>
              </sm:meanLine>
              <sm:minMaxLine>
                <c:spPr>
                  <a:ln w="9525">
                    <a:noFill/>
                  </a:ln>
                </c:spPr>
              </sm:minMaxLine>
              <sm:stDevLine>
                <c:spPr>
                  <a:ln w="9525">
                    <a:noFill/>
                  </a:ln>
                </c:spPr>
              </sm:stDevLine>
              <sm:trendLine>
                <c:spPr>
                  <a:ln w="9525">
                    <a:noFill/>
                  </a:ln>
                </c:spPr>
              </sm:trendLine>
            </c:ext>
            <c:ext xmlns:c16="http://schemas.microsoft.com/office/drawing/2014/chart" uri="{C3380CC4-5D6E-409C-BE32-E72D297353CC}">
              <c16:uniqueId val="{00000000-C36D-4F6A-AAE6-2A3061E8A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1039488"/>
        <c:axId val="141041024"/>
      </c:barChart>
      <c:catAx>
        <c:axId val="14103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F2F2F2"/>
            </a:solidFill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41041024"/>
        <c:crosses val="autoZero"/>
        <c:auto val="1"/>
        <c:lblAlgn val="l"/>
        <c:lblOffset val="100"/>
        <c:noMultiLvlLbl val="0"/>
      </c:catAx>
      <c:valAx>
        <c:axId val="14104102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41039488"/>
        <c:crosses val="autoZero"/>
        <c:crossBetween val="between"/>
      </c:valAx>
      <c:spPr>
        <a:solidFill>
          <a:srgbClr val="0F4098"/>
        </a:solidFill>
        <a:ln w="9525">
          <a:noFill/>
        </a:ln>
      </c:spPr>
    </c:plotArea>
    <c:plotVisOnly val="1"/>
    <c:dispBlanksAs val="gap"/>
    <c:showDLblsOverMax val="0"/>
  </c:chart>
  <c:spPr>
    <a:solidFill>
      <a:srgbClr val="F2F2F2"/>
    </a:solidFill>
    <a:ln w="19050">
      <a:solidFill>
        <a:srgbClr val="FFFFFF"/>
      </a:solidFill>
    </a:ln>
  </c:spPr>
  <c:txPr>
    <a:bodyPr rot="0" anchor="t"/>
    <a:lstStyle/>
    <a:p>
      <a:pPr>
        <a:defRPr lang="pt-BR" sz="1000" b="0" i="0" u="none" strike="noStrike" kern="100">
          <a:solidFill>
            <a:srgbClr val="000000"/>
          </a:solidFill>
          <a:latin typeface="Calibri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 xmlns:c16r2="http://schemas.microsoft.com/office/drawing/2015/06/chart">
    <c:ext xmlns:sm="smo" uri="smo">
      <sm:colorScheme xmlns:sm="smo" id="1624570504" val="15"/>
    </c:ext>
  </c:extLst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 lang="pt-BR" sz="1600" b="1" i="0" u="none" strike="noStrike" kern="100">
                <a:solidFill>
                  <a:srgbClr val="000000"/>
                </a:solidFill>
                <a:latin typeface="Verdana" charset="0"/>
              </a:defRPr>
            </a:pPr>
            <a:r>
              <a:rPr lang="pt-BR"/>
              <a:t>Evolução em Números</a:t>
            </a:r>
          </a:p>
        </c:rich>
      </c:tx>
      <c:layout>
        <c:manualLayout>
          <c:xMode val="edge"/>
          <c:yMode val="edge"/>
          <c:x val="7.2500000000000004E-3"/>
          <c:y val="1.6250000000000001E-2"/>
        </c:manualLayout>
      </c:layout>
      <c:overlay val="0"/>
      <c:spPr>
        <a:noFill/>
        <a:ln w="9525">
          <a:noFill/>
        </a:ln>
      </c:spPr>
    </c:title>
    <c:autoTitleDeleted val="0"/>
    <c:plotArea>
      <c:layout/>
      <c:stockChart>
        <c:ser>
          <c:idx val="1"/>
          <c:order val="0"/>
          <c:tx>
            <c:strRef>
              <c:f>Indicadores!$L$18</c:f>
              <c:strCache>
                <c:ptCount val="1"/>
                <c:pt idx="0">
                  <c:v>Processos</c:v>
                </c:pt>
              </c:strCache>
            </c:strRef>
          </c:tx>
          <c:spPr>
            <a:ln w="9525">
              <a:solidFill>
                <a:srgbClr val="FFFF00"/>
              </a:solidFill>
            </a:ln>
          </c:spPr>
          <c:dLbls>
            <c:spPr>
              <a:solidFill>
                <a:srgbClr val="FFFF00"/>
              </a:solidFill>
              <a:ln w="9525">
                <a:noFill/>
              </a:ln>
            </c:spPr>
            <c:txPr>
              <a:bodyPr/>
              <a:lstStyle/>
              <a:p>
                <a:pPr>
                  <a:defRPr lang="pt-BR" sz="1000" b="1" i="0" u="none" strike="noStrike" kern="100">
                    <a:solidFill>
                      <a:srgbClr val="000000"/>
                    </a:solidFill>
                    <a:latin typeface="Calibri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Indicadores!$K$19:$K$23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Indicadores!$L$19:$L$23</c:f>
              <c:numCache>
                <c:formatCode>General</c:formatCode>
                <c:ptCount val="5"/>
                <c:pt idx="0">
                  <c:v>374</c:v>
                </c:pt>
                <c:pt idx="1">
                  <c:v>397</c:v>
                </c:pt>
                <c:pt idx="2">
                  <c:v>251</c:v>
                </c:pt>
                <c:pt idx="3">
                  <c:v>168</c:v>
                </c:pt>
                <c:pt idx="4">
                  <c:v>105</c:v>
                </c:pt>
              </c:numCache>
            </c:numRef>
          </c:val>
          <c:smooth val="1"/>
          <c:extLst xmlns:c16r2="http://schemas.microsoft.com/office/drawing/2015/06/chart">
            <c:ext xmlns:sm="smo" uri="smo">
              <sm:meanLine>
                <c:spPr>
                  <a:ln w="9525">
                    <a:noFill/>
                  </a:ln>
                </c:spPr>
              </sm:meanLine>
              <sm:minMaxLine>
                <c:spPr>
                  <a:ln w="9525">
                    <a:noFill/>
                  </a:ln>
                </c:spPr>
              </sm:minMaxLine>
              <sm:stDevLine>
                <c:spPr>
                  <a:ln w="9525">
                    <a:noFill/>
                  </a:ln>
                </c:spPr>
              </sm:stDevLine>
              <sm:trendLine>
                <c:spPr>
                  <a:ln w="9525">
                    <a:noFill/>
                  </a:ln>
                </c:spPr>
              </sm:trendLine>
            </c:ext>
            <c:ext xmlns:c16="http://schemas.microsoft.com/office/drawing/2014/chart" uri="{C3380CC4-5D6E-409C-BE32-E72D297353CC}">
              <c16:uniqueId val="{00000000-FAD8-47DF-A51F-AA0A009402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>
              <a:noFill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9525">
                <a:solidFill>
                  <a:srgbClr val="000000"/>
                </a:solidFill>
              </a:ln>
            </c:spPr>
          </c:upBars>
          <c:downBars>
            <c:spPr>
              <a:solidFill>
                <a:srgbClr val="000000"/>
              </a:solidFill>
              <a:ln w="9525">
                <a:solidFill>
                  <a:srgbClr val="B3B3B3"/>
                </a:solidFill>
              </a:ln>
            </c:spPr>
          </c:downBars>
        </c:upDownBars>
        <c:axId val="141112448"/>
        <c:axId val="141113984"/>
        <c:extLst xmlns:c16r2="http://schemas.microsoft.com/office/drawing/2015/06/chart">
          <c:ext xmlns:sm="smo" uri="smo">
            <sm:boxPlot xmlns:sm="smo" val="0"/>
            <sm:turned xmlns:sm="smo" val="0"/>
          </c:ext>
        </c:extLst>
      </c:stockChart>
      <c:catAx>
        <c:axId val="14111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solidFill>
              <a:srgbClr val="878787"/>
            </a:solidFill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41113984"/>
        <c:crosses val="autoZero"/>
        <c:auto val="1"/>
        <c:lblAlgn val="l"/>
        <c:lblOffset val="100"/>
        <c:noMultiLvlLbl val="0"/>
      </c:catAx>
      <c:valAx>
        <c:axId val="1411139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9525">
            <a:solidFill>
              <a:srgbClr val="878787"/>
            </a:solidFill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41112448"/>
        <c:crosses val="autoZero"/>
        <c:crossBetween val="between"/>
      </c:valAx>
      <c:spPr>
        <a:solidFill>
          <a:srgbClr val="0F4098"/>
        </a:solidFill>
        <a:ln w="9525">
          <a:noFill/>
        </a:ln>
      </c:spPr>
    </c:plotArea>
    <c:legend>
      <c:legendPos val="r"/>
      <c:layout/>
      <c:overlay val="0"/>
      <c:spPr>
        <a:noFill/>
        <a:ln w="9525">
          <a:noFill/>
        </a:ln>
      </c:spPr>
      <c:txPr>
        <a:bodyPr/>
        <a:lstStyle/>
        <a:p>
          <a:pPr>
            <a:defRPr lang="pt-BR" sz="1000" b="0" i="0" u="none" strike="noStrike" kern="100">
              <a:solidFill>
                <a:srgbClr val="000000"/>
              </a:solidFill>
              <a:latin typeface="Verdana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2F2F2"/>
    </a:solidFill>
    <a:ln w="9525">
      <a:noFill/>
    </a:ln>
  </c:spPr>
  <c:txPr>
    <a:bodyPr rot="0" anchor="t"/>
    <a:lstStyle/>
    <a:p>
      <a:pPr>
        <a:defRPr lang="pt-BR" sz="1000" b="0" i="0" u="none" strike="noStrike" kern="100">
          <a:solidFill>
            <a:srgbClr val="000000"/>
          </a:solidFill>
          <a:latin typeface="Calibri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 xmlns:c16r2="http://schemas.microsoft.com/office/drawing/2015/06/chart">
    <c:ext xmlns:sm="smo" uri="smo">
      <sm:colorScheme xmlns:sm="smo" id="1624570504" val="15"/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 lang="pt-BR" sz="1600" b="1" i="0" u="none" strike="noStrike" kern="100">
                <a:solidFill>
                  <a:srgbClr val="000000"/>
                </a:solidFill>
                <a:latin typeface="Verdana" charset="0"/>
              </a:defRPr>
            </a:pPr>
            <a:r>
              <a:t>% de Processos por Modalidade</a:t>
            </a:r>
          </a:p>
        </c:rich>
      </c:tx>
      <c:layout>
        <c:manualLayout>
          <c:xMode val="edge"/>
          <c:yMode val="edge"/>
          <c:x val="4.0000000000000001E-3"/>
          <c:y val="1.4250000000000001E-2"/>
        </c:manualLayout>
      </c:layout>
      <c:overlay val="0"/>
      <c:spPr>
        <a:noFill/>
        <a:ln w="9525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EE300"/>
            </a:solidFill>
            <a:ln w="9525">
              <a:noFill/>
            </a:ln>
          </c:spPr>
          <c:invertIfNegative val="0"/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0BB-4159-85E5-3ACCAC0DAEED}"/>
              </c:ext>
            </c:extLst>
          </c:dPt>
          <c:dLbls>
            <c:spPr>
              <a:noFill/>
              <a:ln w="9525">
                <a:noFill/>
              </a:ln>
            </c:spPr>
            <c:txPr>
              <a:bodyPr/>
              <a:lstStyle/>
              <a:p>
                <a:pPr>
                  <a:defRPr lang="pt-BR" sz="1000" b="0" i="0" u="none" strike="noStrike" kern="100">
                    <a:solidFill>
                      <a:srgbClr val="FFFFFF"/>
                    </a:solidFill>
                    <a:latin typeface="Verdana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Indicadores!$H$54:$H$58</c:f>
              <c:strCache>
                <c:ptCount val="5"/>
                <c:pt idx="0">
                  <c:v>Pregão Elet. Conc.</c:v>
                </c:pt>
                <c:pt idx="1">
                  <c:v>Leilão</c:v>
                </c:pt>
                <c:pt idx="2">
                  <c:v>Pregão Elet. - SRP</c:v>
                </c:pt>
                <c:pt idx="3">
                  <c:v>Pregão Elet. - Tradicional</c:v>
                </c:pt>
                <c:pt idx="4">
                  <c:v>RDC</c:v>
                </c:pt>
              </c:strCache>
            </c:strRef>
          </c:cat>
          <c:val>
            <c:numRef>
              <c:f>Indicadores!$J$54:$J$58</c:f>
              <c:numCache>
                <c:formatCode>0.0%</c:formatCode>
                <c:ptCount val="5"/>
                <c:pt idx="0">
                  <c:v>7.6190476190476183E-2</c:v>
                </c:pt>
                <c:pt idx="1">
                  <c:v>0</c:v>
                </c:pt>
                <c:pt idx="2">
                  <c:v>0.78095238095238106</c:v>
                </c:pt>
                <c:pt idx="3">
                  <c:v>5.7142857142857141E-2</c:v>
                </c:pt>
                <c:pt idx="4">
                  <c:v>8.5714285714285715E-2</c:v>
                </c:pt>
              </c:numCache>
            </c:numRef>
          </c:val>
          <c:extLst xmlns:c16r2="http://schemas.microsoft.com/office/drawing/2015/06/chart">
            <c:ext xmlns:sm="smo" uri="smo">
              <sm:meanLine>
                <c:spPr>
                  <a:ln w="9525">
                    <a:noFill/>
                  </a:ln>
                </c:spPr>
              </sm:meanLine>
              <sm:minMaxLine>
                <c:spPr>
                  <a:ln w="9525">
                    <a:noFill/>
                  </a:ln>
                </c:spPr>
              </sm:minMaxLine>
              <sm:stDevLine>
                <c:spPr>
                  <a:ln w="9525">
                    <a:noFill/>
                  </a:ln>
                </c:spPr>
              </sm:stDevLine>
              <sm:trendLine>
                <c:spPr>
                  <a:ln w="9525">
                    <a:noFill/>
                  </a:ln>
                </c:spPr>
              </sm:trendLine>
            </c:ext>
            <c:ext xmlns:c16="http://schemas.microsoft.com/office/drawing/2014/chart" uri="{C3380CC4-5D6E-409C-BE32-E72D297353CC}">
              <c16:uniqueId val="{00000001-10BB-4159-85E5-3ACCAC0DA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0038144"/>
        <c:axId val="140039680"/>
      </c:barChart>
      <c:catAx>
        <c:axId val="14003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F2F2F2"/>
            </a:solidFill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40039680"/>
        <c:crosses val="autoZero"/>
        <c:auto val="1"/>
        <c:lblAlgn val="l"/>
        <c:lblOffset val="100"/>
        <c:noMultiLvlLbl val="0"/>
      </c:catAx>
      <c:valAx>
        <c:axId val="140039680"/>
        <c:scaling>
          <c:orientation val="minMax"/>
        </c:scaling>
        <c:delete val="0"/>
        <c:axPos val="l"/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40038144"/>
        <c:crosses val="autoZero"/>
        <c:crossBetween val="between"/>
      </c:valAx>
      <c:spPr>
        <a:solidFill>
          <a:srgbClr val="0F4098"/>
        </a:solidFill>
        <a:ln w="9525">
          <a:noFill/>
        </a:ln>
      </c:spPr>
    </c:plotArea>
    <c:plotVisOnly val="1"/>
    <c:dispBlanksAs val="gap"/>
    <c:showDLblsOverMax val="0"/>
  </c:chart>
  <c:spPr>
    <a:solidFill>
      <a:srgbClr val="F2F2F2"/>
    </a:solidFill>
    <a:ln w="19050">
      <a:solidFill>
        <a:srgbClr val="FFFFFF"/>
      </a:solidFill>
    </a:ln>
  </c:spPr>
  <c:txPr>
    <a:bodyPr rot="0" anchor="t"/>
    <a:lstStyle/>
    <a:p>
      <a:pPr>
        <a:defRPr lang="pt-BR" sz="1000" b="0" i="0" u="none" strike="noStrike" kern="100">
          <a:solidFill>
            <a:srgbClr val="000000"/>
          </a:solidFill>
          <a:latin typeface="Calibri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 xmlns:c16r2="http://schemas.microsoft.com/office/drawing/2015/06/chart">
    <c:ext xmlns:sm="smo" uri="smo">
      <sm:colorScheme xmlns:sm="smo" id="1624570504" val="15"/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 lang="pt-BR" sz="1600" b="1" i="0" u="none" strike="noStrike" kern="100">
                <a:solidFill>
                  <a:srgbClr val="000000"/>
                </a:solidFill>
                <a:latin typeface="Verdana" charset="0"/>
              </a:defRPr>
            </a:pPr>
            <a:r>
              <a:t>Efetivação nos Certames</a:t>
            </a:r>
          </a:p>
        </c:rich>
      </c:tx>
      <c:layout>
        <c:manualLayout>
          <c:xMode val="edge"/>
          <c:yMode val="edge"/>
          <c:x val="8.7500000000000008E-3"/>
          <c:y val="0"/>
        </c:manualLayout>
      </c:layout>
      <c:overlay val="0"/>
      <c:spPr>
        <a:noFill/>
        <a:ln w="9525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EE300"/>
            </a:solidFill>
            <a:ln w="9525">
              <a:noFill/>
            </a:ln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8C8-4D1F-A932-702FF0DFD6EA}"/>
              </c:ext>
            </c:extLst>
          </c:dPt>
          <c:dLbls>
            <c:spPr>
              <a:noFill/>
              <a:ln w="9525">
                <a:noFill/>
              </a:ln>
            </c:spPr>
            <c:txPr>
              <a:bodyPr/>
              <a:lstStyle/>
              <a:p>
                <a:pPr>
                  <a:defRPr lang="pt-BR" sz="1000" b="0" i="0" u="none" strike="noStrike" kern="100">
                    <a:solidFill>
                      <a:srgbClr val="FFFFFF"/>
                    </a:solidFill>
                    <a:latin typeface="Verdana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Indicadores!$H$75:$H$77</c:f>
              <c:strCache>
                <c:ptCount val="3"/>
                <c:pt idx="0">
                  <c:v>Itens Licitados</c:v>
                </c:pt>
                <c:pt idx="1">
                  <c:v>Itens Cancelados</c:v>
                </c:pt>
                <c:pt idx="2">
                  <c:v>Percentual de Efetividade</c:v>
                </c:pt>
              </c:strCache>
            </c:strRef>
          </c:cat>
          <c:val>
            <c:numRef>
              <c:f>Indicadores!$I$75:$I$77</c:f>
              <c:numCache>
                <c:formatCode>General</c:formatCode>
                <c:ptCount val="3"/>
                <c:pt idx="0">
                  <c:v>3550</c:v>
                </c:pt>
                <c:pt idx="1">
                  <c:v>783</c:v>
                </c:pt>
                <c:pt idx="2" formatCode="0.0%">
                  <c:v>0.77943661971830991</c:v>
                </c:pt>
              </c:numCache>
            </c:numRef>
          </c:val>
          <c:extLst xmlns:c16r2="http://schemas.microsoft.com/office/drawing/2015/06/chart">
            <c:ext xmlns:sm="smo" uri="smo">
              <sm:meanLine>
                <c:spPr>
                  <a:ln w="9525">
                    <a:noFill/>
                  </a:ln>
                </c:spPr>
              </sm:meanLine>
              <sm:minMaxLine>
                <c:spPr>
                  <a:ln w="9525">
                    <a:noFill/>
                  </a:ln>
                </c:spPr>
              </sm:minMaxLine>
              <sm:stDevLine>
                <c:spPr>
                  <a:ln w="9525">
                    <a:noFill/>
                  </a:ln>
                </c:spPr>
              </sm:stDevLine>
              <sm:trendLine>
                <c:spPr>
                  <a:ln w="9525">
                    <a:noFill/>
                  </a:ln>
                </c:spPr>
              </sm:trendLine>
            </c:ext>
            <c:ext xmlns:c16="http://schemas.microsoft.com/office/drawing/2014/chart" uri="{C3380CC4-5D6E-409C-BE32-E72D297353CC}">
              <c16:uniqueId val="{00000001-38C8-4D1F-A932-702FF0DFD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39938048"/>
        <c:axId val="139943936"/>
      </c:barChart>
      <c:catAx>
        <c:axId val="13993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F2F2F2"/>
            </a:solidFill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39943936"/>
        <c:crosses val="autoZero"/>
        <c:auto val="1"/>
        <c:lblAlgn val="l"/>
        <c:lblOffset val="100"/>
        <c:noMultiLvlLbl val="0"/>
      </c:catAx>
      <c:valAx>
        <c:axId val="13994393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39938048"/>
        <c:crosses val="autoZero"/>
        <c:crossBetween val="between"/>
      </c:valAx>
      <c:spPr>
        <a:solidFill>
          <a:srgbClr val="0F4098"/>
        </a:solidFill>
        <a:ln w="9525">
          <a:noFill/>
        </a:ln>
      </c:spPr>
    </c:plotArea>
    <c:plotVisOnly val="1"/>
    <c:dispBlanksAs val="gap"/>
    <c:showDLblsOverMax val="0"/>
  </c:chart>
  <c:spPr>
    <a:solidFill>
      <a:srgbClr val="F2F2F2"/>
    </a:solidFill>
    <a:ln w="19050">
      <a:solidFill>
        <a:srgbClr val="FFFFFF"/>
      </a:solidFill>
    </a:ln>
  </c:spPr>
  <c:txPr>
    <a:bodyPr rot="0" anchor="t"/>
    <a:lstStyle/>
    <a:p>
      <a:pPr>
        <a:defRPr lang="pt-BR" sz="1000" b="0" i="0" u="none" strike="noStrike" kern="100">
          <a:solidFill>
            <a:srgbClr val="000000"/>
          </a:solidFill>
          <a:latin typeface="Calibri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 xmlns:c16r2="http://schemas.microsoft.com/office/drawing/2015/06/chart">
    <c:ext xmlns:sm="smo" uri="smo">
      <sm:colorScheme xmlns:sm="smo" id="1624570504" val="15"/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 lang="pt-BR" sz="1600" b="1" i="0" u="none" strike="noStrike" kern="100">
                <a:solidFill>
                  <a:srgbClr val="000000"/>
                </a:solidFill>
                <a:latin typeface="Verdana" charset="0"/>
              </a:defRPr>
            </a:pPr>
            <a:r>
              <a:t>Efetivação nos Certames Itens Licitados</a:t>
            </a:r>
          </a:p>
        </c:rich>
      </c:tx>
      <c:layout>
        <c:manualLayout>
          <c:xMode val="edge"/>
          <c:yMode val="edge"/>
          <c:x val="1.175E-2"/>
          <c:y val="5.0000000000000001E-4"/>
        </c:manualLayout>
      </c:layout>
      <c:overlay val="0"/>
      <c:spPr>
        <a:noFill/>
        <a:ln w="9525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EE300"/>
            </a:solidFill>
            <a:ln w="9525">
              <a:noFill/>
            </a:ln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C17-4973-B76D-0DAC2E370959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C17-4973-B76D-0DAC2E370959}"/>
              </c:ext>
            </c:extLst>
          </c:dPt>
          <c:dLbls>
            <c:spPr>
              <a:noFill/>
              <a:ln w="9525">
                <a:noFill/>
              </a:ln>
            </c:spPr>
            <c:txPr>
              <a:bodyPr/>
              <a:lstStyle/>
              <a:p>
                <a:pPr>
                  <a:defRPr lang="pt-BR" sz="1000" b="0" i="0" u="none" strike="noStrike" kern="100">
                    <a:solidFill>
                      <a:srgbClr val="FFFFFF"/>
                    </a:solidFill>
                    <a:latin typeface="Verdana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Indicadores!$H$94:$H$99</c:f>
              <c:strCache>
                <c:ptCount val="6"/>
                <c:pt idx="0">
                  <c:v>Alienação</c:v>
                </c:pt>
                <c:pt idx="1">
                  <c:v>Concessão</c:v>
                </c:pt>
                <c:pt idx="2">
                  <c:v>Consumo</c:v>
                </c:pt>
                <c:pt idx="3">
                  <c:v>Obra/Projeto</c:v>
                </c:pt>
                <c:pt idx="4">
                  <c:v>Permanente</c:v>
                </c:pt>
                <c:pt idx="5">
                  <c:v>Serviço</c:v>
                </c:pt>
              </c:strCache>
            </c:strRef>
          </c:cat>
          <c:val>
            <c:numRef>
              <c:f>Indicadores!$I$94:$I$99</c:f>
              <c:numCache>
                <c:formatCode>General</c:formatCode>
                <c:ptCount val="6"/>
                <c:pt idx="0">
                  <c:v>0</c:v>
                </c:pt>
                <c:pt idx="1">
                  <c:v>8</c:v>
                </c:pt>
                <c:pt idx="2">
                  <c:v>2217</c:v>
                </c:pt>
                <c:pt idx="3">
                  <c:v>9</c:v>
                </c:pt>
                <c:pt idx="4">
                  <c:v>551</c:v>
                </c:pt>
                <c:pt idx="5">
                  <c:v>765</c:v>
                </c:pt>
              </c:numCache>
            </c:numRef>
          </c:val>
          <c:extLst xmlns:c16r2="http://schemas.microsoft.com/office/drawing/2015/06/chart">
            <c:ext xmlns:sm="smo" uri="smo">
              <sm:meanLine>
                <c:spPr>
                  <a:ln w="9525">
                    <a:noFill/>
                  </a:ln>
                </c:spPr>
              </sm:meanLine>
              <sm:minMaxLine>
                <c:spPr>
                  <a:ln w="9525">
                    <a:noFill/>
                  </a:ln>
                </c:spPr>
              </sm:minMaxLine>
              <sm:stDevLine>
                <c:spPr>
                  <a:ln w="9525">
                    <a:noFill/>
                  </a:ln>
                </c:spPr>
              </sm:stDevLine>
              <sm:trendLine>
                <c:spPr>
                  <a:ln w="9525">
                    <a:noFill/>
                  </a:ln>
                </c:spPr>
              </sm:trendLine>
            </c:ext>
            <c:ext xmlns:c16="http://schemas.microsoft.com/office/drawing/2014/chart" uri="{C3380CC4-5D6E-409C-BE32-E72D297353CC}">
              <c16:uniqueId val="{00000002-EC17-4973-B76D-0DAC2E370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0252288"/>
        <c:axId val="140253824"/>
      </c:barChart>
      <c:catAx>
        <c:axId val="14025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F2F2F2"/>
            </a:solidFill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40253824"/>
        <c:crosses val="autoZero"/>
        <c:auto val="1"/>
        <c:lblAlgn val="l"/>
        <c:lblOffset val="100"/>
        <c:noMultiLvlLbl val="0"/>
      </c:catAx>
      <c:valAx>
        <c:axId val="14025382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40252288"/>
        <c:crosses val="autoZero"/>
        <c:crossBetween val="between"/>
      </c:valAx>
      <c:spPr>
        <a:solidFill>
          <a:srgbClr val="0F4098"/>
        </a:solidFill>
        <a:ln w="9525">
          <a:noFill/>
        </a:ln>
      </c:spPr>
    </c:plotArea>
    <c:plotVisOnly val="1"/>
    <c:dispBlanksAs val="gap"/>
    <c:showDLblsOverMax val="0"/>
  </c:chart>
  <c:spPr>
    <a:solidFill>
      <a:srgbClr val="F2F2F2"/>
    </a:solidFill>
    <a:ln w="19050">
      <a:solidFill>
        <a:srgbClr val="FFFFFF"/>
      </a:solidFill>
    </a:ln>
  </c:spPr>
  <c:txPr>
    <a:bodyPr rot="0" anchor="t"/>
    <a:lstStyle/>
    <a:p>
      <a:pPr>
        <a:defRPr lang="pt-BR" sz="1000" b="0" i="0" u="none" strike="noStrike" kern="100">
          <a:solidFill>
            <a:srgbClr val="000000"/>
          </a:solidFill>
          <a:latin typeface="Calibri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 xmlns:c16r2="http://schemas.microsoft.com/office/drawing/2015/06/chart">
    <c:ext xmlns:sm="smo" uri="smo">
      <sm:colorScheme xmlns:sm="smo" id="1624570504" val="15"/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 lang="pt-BR" sz="1600" b="1" i="0" u="none" strike="noStrike" kern="100">
                <a:solidFill>
                  <a:srgbClr val="000000"/>
                </a:solidFill>
                <a:latin typeface="Verdana" charset="0"/>
              </a:defRPr>
            </a:pPr>
            <a:r>
              <a:t>Efetivação nos Certames Itens Cancelados</a:t>
            </a:r>
          </a:p>
        </c:rich>
      </c:tx>
      <c:layout>
        <c:manualLayout>
          <c:xMode val="edge"/>
          <c:yMode val="edge"/>
          <c:x val="1.2E-2"/>
          <c:y val="5.0000000000000001E-4"/>
        </c:manualLayout>
      </c:layout>
      <c:overlay val="0"/>
      <c:spPr>
        <a:noFill/>
        <a:ln w="9525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EE300"/>
            </a:solidFill>
            <a:ln w="9525">
              <a:noFill/>
            </a:ln>
          </c:spPr>
          <c:invertIfNegative val="0"/>
          <c:dLbls>
            <c:spPr>
              <a:noFill/>
              <a:ln w="9525">
                <a:noFill/>
              </a:ln>
            </c:spPr>
            <c:txPr>
              <a:bodyPr/>
              <a:lstStyle/>
              <a:p>
                <a:pPr>
                  <a:defRPr lang="pt-BR" sz="1000" b="0" i="0" u="none" strike="noStrike" kern="100">
                    <a:solidFill>
                      <a:srgbClr val="FFFFFF"/>
                    </a:solidFill>
                    <a:latin typeface="Verdana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Indicadores!$H$103:$H$108</c:f>
              <c:strCache>
                <c:ptCount val="6"/>
                <c:pt idx="0">
                  <c:v>Alienação</c:v>
                </c:pt>
                <c:pt idx="1">
                  <c:v>Concessão</c:v>
                </c:pt>
                <c:pt idx="2">
                  <c:v>Consumo</c:v>
                </c:pt>
                <c:pt idx="3">
                  <c:v>Obra/Projeto</c:v>
                </c:pt>
                <c:pt idx="4">
                  <c:v>Permanente</c:v>
                </c:pt>
                <c:pt idx="5">
                  <c:v>Serviço</c:v>
                </c:pt>
              </c:strCache>
            </c:strRef>
          </c:cat>
          <c:val>
            <c:numRef>
              <c:f>Indicadores!$I$103:$I$108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676</c:v>
                </c:pt>
                <c:pt idx="3">
                  <c:v>3</c:v>
                </c:pt>
                <c:pt idx="4">
                  <c:v>104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sm="smo" uri="smo">
              <sm:meanLine>
                <c:spPr>
                  <a:ln w="9525">
                    <a:noFill/>
                  </a:ln>
                </c:spPr>
              </sm:meanLine>
              <sm:minMaxLine>
                <c:spPr>
                  <a:ln w="9525">
                    <a:noFill/>
                  </a:ln>
                </c:spPr>
              </sm:minMaxLine>
              <sm:stDevLine>
                <c:spPr>
                  <a:ln w="9525">
                    <a:noFill/>
                  </a:ln>
                </c:spPr>
              </sm:stDevLine>
              <sm:trendLine>
                <c:spPr>
                  <a:ln w="9525">
                    <a:noFill/>
                  </a:ln>
                </c:spPr>
              </sm:trendLine>
            </c:ext>
            <c:ext xmlns:c16="http://schemas.microsoft.com/office/drawing/2014/chart" uri="{C3380CC4-5D6E-409C-BE32-E72D297353CC}">
              <c16:uniqueId val="{00000000-6921-47EC-BDB5-DF88F3366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0305536"/>
        <c:axId val="140307072"/>
      </c:barChart>
      <c:catAx>
        <c:axId val="14030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F2F2F2"/>
            </a:solidFill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40307072"/>
        <c:crosses val="autoZero"/>
        <c:auto val="1"/>
        <c:lblAlgn val="l"/>
        <c:lblOffset val="100"/>
        <c:noMultiLvlLbl val="0"/>
      </c:catAx>
      <c:valAx>
        <c:axId val="14030707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40305536"/>
        <c:crosses val="autoZero"/>
        <c:crossBetween val="between"/>
      </c:valAx>
      <c:spPr>
        <a:solidFill>
          <a:srgbClr val="0F4098"/>
        </a:solidFill>
        <a:ln w="9525">
          <a:noFill/>
        </a:ln>
      </c:spPr>
    </c:plotArea>
    <c:plotVisOnly val="1"/>
    <c:dispBlanksAs val="gap"/>
    <c:showDLblsOverMax val="0"/>
  </c:chart>
  <c:spPr>
    <a:solidFill>
      <a:srgbClr val="F2F2F2"/>
    </a:solidFill>
    <a:ln w="19050">
      <a:solidFill>
        <a:srgbClr val="FFFFFF"/>
      </a:solidFill>
    </a:ln>
  </c:spPr>
  <c:txPr>
    <a:bodyPr rot="0" anchor="t"/>
    <a:lstStyle/>
    <a:p>
      <a:pPr>
        <a:defRPr lang="pt-BR" sz="1000" b="0" i="0" u="none" strike="noStrike" kern="100">
          <a:solidFill>
            <a:srgbClr val="000000"/>
          </a:solidFill>
          <a:latin typeface="Calibri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 xmlns:c16r2="http://schemas.microsoft.com/office/drawing/2015/06/chart">
    <c:ext xmlns:sm="smo" uri="smo">
      <sm:colorScheme xmlns:sm="smo" id="1624570504" val="15"/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 lang="pt-BR" sz="1600" b="1" i="0" u="none" strike="noStrike" kern="100">
                <a:solidFill>
                  <a:srgbClr val="000000"/>
                </a:solidFill>
                <a:latin typeface="Verdana" charset="0"/>
              </a:defRPr>
            </a:pPr>
            <a:r>
              <a:t>Valores </a:t>
            </a:r>
          </a:p>
          <a:p>
            <a:pPr>
              <a:defRPr lang="pt-BR" sz="1600" b="1" i="0" u="none" strike="noStrike" kern="100">
                <a:solidFill>
                  <a:srgbClr val="000000"/>
                </a:solidFill>
                <a:latin typeface="Verdana" charset="0"/>
              </a:defRPr>
            </a:pPr>
            <a:r>
              <a:t>Estimados x Adjudicados</a:t>
            </a:r>
          </a:p>
        </c:rich>
      </c:tx>
      <c:layout>
        <c:manualLayout>
          <c:xMode val="edge"/>
          <c:yMode val="edge"/>
          <c:x val="2.2499999999999998E-3"/>
          <c:y val="5.0000000000000001E-4"/>
        </c:manualLayout>
      </c:layout>
      <c:overlay val="0"/>
      <c:spPr>
        <a:noFill/>
        <a:ln w="9525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EE300"/>
            </a:solidFill>
            <a:ln w="9525">
              <a:noFill/>
            </a:ln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3FC-4932-A6E4-40121808858E}"/>
              </c:ext>
            </c:extLst>
          </c:dPt>
          <c:dLbls>
            <c:dLbl>
              <c:idx val="0"/>
              <c:layout>
                <c:manualLayout>
                  <c:x val="0.1923"/>
                  <c:y val="6.96999999999999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FC-4932-A6E4-40121808858E}"/>
                </c:ext>
              </c:extLst>
            </c:dLbl>
            <c:spPr>
              <a:noFill/>
              <a:ln w="9525">
                <a:noFill/>
              </a:ln>
            </c:spPr>
            <c:txPr>
              <a:bodyPr/>
              <a:lstStyle/>
              <a:p>
                <a:pPr>
                  <a:defRPr lang="pt-BR" sz="1000" b="0" i="0" u="none" strike="noStrike" kern="100">
                    <a:solidFill>
                      <a:srgbClr val="FFFFFF"/>
                    </a:solidFill>
                    <a:latin typeface="Verdana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Indicadores!$C$132:$C$133</c:f>
              <c:strCache>
                <c:ptCount val="2"/>
                <c:pt idx="0">
                  <c:v>Valor Estimado</c:v>
                </c:pt>
                <c:pt idx="1">
                  <c:v>Valor Adjudicado</c:v>
                </c:pt>
              </c:strCache>
            </c:strRef>
          </c:cat>
          <c:val>
            <c:numRef>
              <c:f>Indicadores!$D$132:$D$133</c:f>
              <c:numCache>
                <c:formatCode>_-"R$ "* #,##0.00_-;"-R$ "* #,##0.00_-;_-"R$ "* \-??_-;_-@_-</c:formatCode>
                <c:ptCount val="2"/>
                <c:pt idx="0">
                  <c:v>70023710.274200007</c:v>
                </c:pt>
                <c:pt idx="1">
                  <c:v>50390681.788400002</c:v>
                </c:pt>
              </c:numCache>
            </c:numRef>
          </c:val>
          <c:extLst xmlns:c16r2="http://schemas.microsoft.com/office/drawing/2015/06/chart">
            <c:ext xmlns:sm="smo" uri="smo">
              <sm:meanLine>
                <c:spPr>
                  <a:ln w="9525">
                    <a:noFill/>
                  </a:ln>
                </c:spPr>
              </sm:meanLine>
              <sm:minMaxLine>
                <c:spPr>
                  <a:ln w="9525">
                    <a:noFill/>
                  </a:ln>
                </c:spPr>
              </sm:minMaxLine>
              <sm:stDevLine>
                <c:spPr>
                  <a:ln w="9525">
                    <a:noFill/>
                  </a:ln>
                </c:spPr>
              </sm:stDevLine>
              <sm:trendLine>
                <c:spPr>
                  <a:ln w="9525">
                    <a:noFill/>
                  </a:ln>
                </c:spPr>
              </sm:trendLine>
            </c:ext>
            <c:ext xmlns:c16="http://schemas.microsoft.com/office/drawing/2014/chart" uri="{C3380CC4-5D6E-409C-BE32-E72D297353CC}">
              <c16:uniqueId val="{00000001-33FC-4932-A6E4-401218088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0333056"/>
        <c:axId val="140334592"/>
      </c:barChart>
      <c:catAx>
        <c:axId val="14033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F2F2F2"/>
            </a:solidFill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40334592"/>
        <c:crosses val="autoZero"/>
        <c:auto val="1"/>
        <c:lblAlgn val="l"/>
        <c:lblOffset val="100"/>
        <c:noMultiLvlLbl val="0"/>
      </c:catAx>
      <c:valAx>
        <c:axId val="140334592"/>
        <c:scaling>
          <c:orientation val="minMax"/>
        </c:scaling>
        <c:delete val="0"/>
        <c:axPos val="l"/>
        <c:numFmt formatCode="&quot; R$&quot;* #,##0.00\ ;&quot; R$&quot;* \(#,##0.00\);&quot; R$&quot;* \-#\ ;@\ 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40333056"/>
        <c:crosses val="autoZero"/>
        <c:crossBetween val="between"/>
      </c:valAx>
      <c:spPr>
        <a:solidFill>
          <a:srgbClr val="0F4098"/>
        </a:solidFill>
        <a:ln w="9525">
          <a:noFill/>
        </a:ln>
      </c:spPr>
    </c:plotArea>
    <c:plotVisOnly val="1"/>
    <c:dispBlanksAs val="gap"/>
    <c:showDLblsOverMax val="0"/>
  </c:chart>
  <c:spPr>
    <a:solidFill>
      <a:srgbClr val="F2F2F2"/>
    </a:solidFill>
    <a:ln w="19050">
      <a:solidFill>
        <a:srgbClr val="FFFFFF"/>
      </a:solidFill>
    </a:ln>
  </c:spPr>
  <c:txPr>
    <a:bodyPr rot="0" anchor="t"/>
    <a:lstStyle/>
    <a:p>
      <a:pPr>
        <a:defRPr lang="pt-BR" sz="1000" b="0" i="0" u="none" strike="noStrike" kern="100">
          <a:solidFill>
            <a:srgbClr val="000000"/>
          </a:solidFill>
          <a:latin typeface="Calibri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 xmlns:c16r2="http://schemas.microsoft.com/office/drawing/2015/06/chart">
    <c:ext xmlns:sm="smo" uri="smo">
      <sm:colorScheme xmlns:sm="smo" id="1624570504" val="15"/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 lang="pt-BR" sz="1400" b="1" i="0" u="none" strike="noStrike" kern="100">
                <a:solidFill>
                  <a:srgbClr val="000000"/>
                </a:solidFill>
                <a:latin typeface="Verdana" charset="0"/>
              </a:defRPr>
            </a:pPr>
            <a:r>
              <a:t>Unidades Requerentes</a:t>
            </a:r>
          </a:p>
        </c:rich>
      </c:tx>
      <c:layout>
        <c:manualLayout>
          <c:xMode val="edge"/>
          <c:yMode val="edge"/>
          <c:x val="1.15E-2"/>
          <c:y val="0.01"/>
        </c:manualLayout>
      </c:layout>
      <c:overlay val="0"/>
      <c:spPr>
        <a:noFill/>
        <a:ln w="9525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5B9BD5"/>
            </a:solidFill>
            <a:ln w="9525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EE300"/>
              </a:solidFill>
              <a:ln w="952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180-4F25-ABA8-C3C0DEB212F4}"/>
              </c:ext>
            </c:extLst>
          </c:dPt>
          <c:dPt>
            <c:idx val="4"/>
            <c:invertIfNegative val="0"/>
            <c:bubble3D val="0"/>
            <c:spPr>
              <a:solidFill>
                <a:srgbClr val="FEE300"/>
              </a:solidFill>
              <a:ln w="952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180-4F25-ABA8-C3C0DEB212F4}"/>
              </c:ext>
            </c:extLst>
          </c:dPt>
          <c:dPt>
            <c:idx val="5"/>
            <c:invertIfNegative val="0"/>
            <c:bubble3D val="0"/>
            <c:spPr>
              <a:solidFill>
                <a:srgbClr val="FEE300"/>
              </a:solidFill>
              <a:ln w="952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180-4F25-ABA8-C3C0DEB212F4}"/>
              </c:ext>
            </c:extLst>
          </c:dPt>
          <c:dPt>
            <c:idx val="7"/>
            <c:invertIfNegative val="0"/>
            <c:bubble3D val="0"/>
            <c:spPr>
              <a:solidFill>
                <a:srgbClr val="FEE300"/>
              </a:solidFill>
              <a:ln w="952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180-4F25-ABA8-C3C0DEB212F4}"/>
              </c:ext>
            </c:extLst>
          </c:dPt>
          <c:dPt>
            <c:idx val="8"/>
            <c:invertIfNegative val="0"/>
            <c:bubble3D val="0"/>
            <c:spPr>
              <a:solidFill>
                <a:srgbClr val="FEE300"/>
              </a:solidFill>
              <a:ln w="952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180-4F25-ABA8-C3C0DEB212F4}"/>
              </c:ext>
            </c:extLst>
          </c:dPt>
          <c:dPt>
            <c:idx val="9"/>
            <c:invertIfNegative val="0"/>
            <c:bubble3D val="0"/>
            <c:spPr>
              <a:solidFill>
                <a:srgbClr val="FEE300"/>
              </a:solidFill>
              <a:ln w="952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180-4F25-ABA8-C3C0DEB212F4}"/>
              </c:ext>
            </c:extLst>
          </c:dPt>
          <c:dPt>
            <c:idx val="10"/>
            <c:invertIfNegative val="0"/>
            <c:bubble3D val="0"/>
            <c:spPr>
              <a:solidFill>
                <a:srgbClr val="FEE300"/>
              </a:solidFill>
              <a:ln w="952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180-4F25-ABA8-C3C0DEB212F4}"/>
              </c:ext>
            </c:extLst>
          </c:dPt>
          <c:dPt>
            <c:idx val="12"/>
            <c:invertIfNegative val="0"/>
            <c:bubble3D val="0"/>
            <c:spPr>
              <a:solidFill>
                <a:srgbClr val="FEE300"/>
              </a:solidFill>
              <a:ln w="952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0180-4F25-ABA8-C3C0DEB212F4}"/>
              </c:ext>
            </c:extLst>
          </c:dPt>
          <c:dPt>
            <c:idx val="14"/>
            <c:invertIfNegative val="0"/>
            <c:bubble3D val="0"/>
            <c:spPr>
              <a:solidFill>
                <a:srgbClr val="FEE300"/>
              </a:solidFill>
              <a:ln w="952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0180-4F25-ABA8-C3C0DEB212F4}"/>
              </c:ext>
            </c:extLst>
          </c:dPt>
          <c:dPt>
            <c:idx val="17"/>
            <c:invertIfNegative val="0"/>
            <c:bubble3D val="0"/>
            <c:spPr>
              <a:solidFill>
                <a:srgbClr val="FEE300"/>
              </a:solidFill>
              <a:ln w="952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0180-4F25-ABA8-C3C0DEB212F4}"/>
              </c:ext>
            </c:extLst>
          </c:dPt>
          <c:dPt>
            <c:idx val="22"/>
            <c:invertIfNegative val="0"/>
            <c:bubble3D val="0"/>
            <c:spPr>
              <a:solidFill>
                <a:srgbClr val="FEE300"/>
              </a:solidFill>
              <a:ln w="952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0180-4F25-ABA8-C3C0DEB212F4}"/>
              </c:ext>
            </c:extLst>
          </c:dPt>
          <c:dPt>
            <c:idx val="25"/>
            <c:invertIfNegative val="0"/>
            <c:bubble3D val="0"/>
            <c:spPr>
              <a:solidFill>
                <a:srgbClr val="FEE300"/>
              </a:solidFill>
              <a:ln w="952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0180-4F25-ABA8-C3C0DEB212F4}"/>
              </c:ext>
            </c:extLst>
          </c:dPt>
          <c:dPt>
            <c:idx val="27"/>
            <c:invertIfNegative val="0"/>
            <c:bubble3D val="0"/>
            <c:spPr>
              <a:solidFill>
                <a:srgbClr val="FEE300"/>
              </a:solidFill>
              <a:ln w="952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0180-4F25-ABA8-C3C0DEB212F4}"/>
              </c:ext>
            </c:extLst>
          </c:dPt>
          <c:dPt>
            <c:idx val="32"/>
            <c:invertIfNegative val="0"/>
            <c:bubble3D val="0"/>
            <c:spPr>
              <a:solidFill>
                <a:srgbClr val="FEE300"/>
              </a:solidFill>
              <a:ln w="952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0180-4F25-ABA8-C3C0DEB212F4}"/>
              </c:ext>
            </c:extLst>
          </c:dPt>
          <c:dPt>
            <c:idx val="35"/>
            <c:invertIfNegative val="0"/>
            <c:bubble3D val="0"/>
            <c:spPr>
              <a:solidFill>
                <a:srgbClr val="FEE300"/>
              </a:solidFill>
              <a:ln w="952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0180-4F25-ABA8-C3C0DEB212F4}"/>
              </c:ext>
            </c:extLst>
          </c:dPt>
          <c:dPt>
            <c:idx val="36"/>
            <c:invertIfNegative val="0"/>
            <c:bubble3D val="0"/>
            <c:spPr>
              <a:solidFill>
                <a:srgbClr val="FEE300"/>
              </a:solidFill>
              <a:ln w="952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0180-4F25-ABA8-C3C0DEB212F4}"/>
              </c:ext>
            </c:extLst>
          </c:dPt>
          <c:dPt>
            <c:idx val="38"/>
            <c:invertIfNegative val="0"/>
            <c:bubble3D val="0"/>
            <c:spPr>
              <a:solidFill>
                <a:srgbClr val="FEE300"/>
              </a:solidFill>
              <a:ln w="952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0180-4F25-ABA8-C3C0DEB212F4}"/>
              </c:ext>
            </c:extLst>
          </c:dPt>
          <c:dPt>
            <c:idx val="45"/>
            <c:invertIfNegative val="0"/>
            <c:bubble3D val="0"/>
            <c:spPr>
              <a:solidFill>
                <a:srgbClr val="FEE300"/>
              </a:solidFill>
              <a:ln w="952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0180-4F25-ABA8-C3C0DEB212F4}"/>
              </c:ext>
            </c:extLst>
          </c:dPt>
          <c:dPt>
            <c:idx val="47"/>
            <c:invertIfNegative val="0"/>
            <c:bubble3D val="0"/>
            <c:spPr>
              <a:solidFill>
                <a:srgbClr val="FEE300"/>
              </a:solidFill>
              <a:ln w="952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0180-4F25-ABA8-C3C0DEB212F4}"/>
              </c:ext>
            </c:extLst>
          </c:dPt>
          <c:dPt>
            <c:idx val="51"/>
            <c:invertIfNegative val="0"/>
            <c:bubble3D val="0"/>
            <c:spPr>
              <a:solidFill>
                <a:srgbClr val="FEE300"/>
              </a:solidFill>
              <a:ln w="952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0180-4F25-ABA8-C3C0DEB212F4}"/>
              </c:ext>
            </c:extLst>
          </c:dPt>
          <c:dPt>
            <c:idx val="52"/>
            <c:invertIfNegative val="0"/>
            <c:bubble3D val="0"/>
            <c:spPr>
              <a:solidFill>
                <a:srgbClr val="FEE300"/>
              </a:solidFill>
              <a:ln w="952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0180-4F25-ABA8-C3C0DEB212F4}"/>
              </c:ext>
            </c:extLst>
          </c:dPt>
          <c:dPt>
            <c:idx val="55"/>
            <c:invertIfNegative val="0"/>
            <c:bubble3D val="0"/>
            <c:spPr>
              <a:solidFill>
                <a:srgbClr val="FEE300"/>
              </a:solidFill>
              <a:ln w="952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0180-4F25-ABA8-C3C0DEB212F4}"/>
              </c:ext>
            </c:extLst>
          </c:dPt>
          <c:dLbls>
            <c:spPr>
              <a:noFill/>
              <a:ln w="9525">
                <a:noFill/>
              </a:ln>
            </c:spPr>
            <c:txPr>
              <a:bodyPr/>
              <a:lstStyle/>
              <a:p>
                <a:pPr>
                  <a:defRPr lang="pt-BR" sz="800" b="0" i="0" u="none" strike="noStrike" kern="100">
                    <a:solidFill>
                      <a:srgbClr val="FFFFFF"/>
                    </a:solidFill>
                    <a:latin typeface="Verdana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Indicadores!$H$177:$H$238</c:f>
              <c:strCache>
                <c:ptCount val="62"/>
                <c:pt idx="0">
                  <c:v>AGECOM</c:v>
                </c:pt>
                <c:pt idx="1">
                  <c:v>ARA</c:v>
                </c:pt>
                <c:pt idx="2">
                  <c:v>AUDIN</c:v>
                </c:pt>
                <c:pt idx="3">
                  <c:v>BIC</c:v>
                </c:pt>
                <c:pt idx="4">
                  <c:v>BNU</c:v>
                </c:pt>
                <c:pt idx="5">
                  <c:v>BU</c:v>
                </c:pt>
                <c:pt idx="6">
                  <c:v>CA</c:v>
                </c:pt>
                <c:pt idx="7">
                  <c:v>CBS</c:v>
                </c:pt>
                <c:pt idx="8">
                  <c:v>CCA</c:v>
                </c:pt>
                <c:pt idx="9">
                  <c:v>CCB</c:v>
                </c:pt>
                <c:pt idx="10">
                  <c:v>CCE</c:v>
                </c:pt>
                <c:pt idx="11">
                  <c:v>CCJ</c:v>
                </c:pt>
                <c:pt idx="12">
                  <c:v>CCS</c:v>
                </c:pt>
                <c:pt idx="13">
                  <c:v>CDS</c:v>
                </c:pt>
                <c:pt idx="14">
                  <c:v>CED</c:v>
                </c:pt>
                <c:pt idx="15">
                  <c:v>CFH</c:v>
                </c:pt>
                <c:pt idx="16">
                  <c:v>CFM</c:v>
                </c:pt>
                <c:pt idx="17">
                  <c:v>CGA</c:v>
                </c:pt>
                <c:pt idx="18">
                  <c:v>COPERVE</c:v>
                </c:pt>
                <c:pt idx="19">
                  <c:v>CSE</c:v>
                </c:pt>
                <c:pt idx="20">
                  <c:v>CTC</c:v>
                </c:pt>
                <c:pt idx="21">
                  <c:v>DAE</c:v>
                </c:pt>
                <c:pt idx="22">
                  <c:v>DCOM</c:v>
                </c:pt>
                <c:pt idx="23">
                  <c:v>DCF</c:v>
                </c:pt>
                <c:pt idx="24">
                  <c:v>DFO</c:v>
                </c:pt>
                <c:pt idx="25">
                  <c:v>DMPI</c:v>
                </c:pt>
                <c:pt idx="26">
                  <c:v>DPAE</c:v>
                </c:pt>
                <c:pt idx="27">
                  <c:v>DPC</c:v>
                </c:pt>
                <c:pt idx="28">
                  <c:v>DPGI</c:v>
                </c:pt>
                <c:pt idx="29">
                  <c:v>EDITORA</c:v>
                </c:pt>
                <c:pt idx="30">
                  <c:v>EDUFSC</c:v>
                </c:pt>
                <c:pt idx="31">
                  <c:v>GR</c:v>
                </c:pt>
                <c:pt idx="32">
                  <c:v>IU</c:v>
                </c:pt>
                <c:pt idx="33">
                  <c:v>JOI</c:v>
                </c:pt>
                <c:pt idx="34">
                  <c:v>MARQUE</c:v>
                </c:pt>
                <c:pt idx="35">
                  <c:v>NDI</c:v>
                </c:pt>
                <c:pt idx="36">
                  <c:v>NUMA</c:v>
                </c:pt>
                <c:pt idx="37">
                  <c:v>OUV</c:v>
                </c:pt>
                <c:pt idx="38">
                  <c:v>PRAE</c:v>
                </c:pt>
                <c:pt idx="39">
                  <c:v>PROAD</c:v>
                </c:pt>
                <c:pt idx="40">
                  <c:v>PRODEGESP</c:v>
                </c:pt>
                <c:pt idx="41">
                  <c:v>PROEX</c:v>
                </c:pt>
                <c:pt idx="42">
                  <c:v>PROGRAD</c:v>
                </c:pt>
                <c:pt idx="43">
                  <c:v>PROPESQ</c:v>
                </c:pt>
                <c:pt idx="44">
                  <c:v>PROPG</c:v>
                </c:pt>
                <c:pt idx="45">
                  <c:v>PU</c:v>
                </c:pt>
                <c:pt idx="46">
                  <c:v>REITORIA</c:v>
                </c:pt>
                <c:pt idx="47">
                  <c:v>RU</c:v>
                </c:pt>
                <c:pt idx="48">
                  <c:v>SAAD</c:v>
                </c:pt>
                <c:pt idx="49">
                  <c:v>SEAD</c:v>
                </c:pt>
                <c:pt idx="50">
                  <c:v>SEAI</c:v>
                </c:pt>
                <c:pt idx="51">
                  <c:v>SECARTE</c:v>
                </c:pt>
                <c:pt idx="52">
                  <c:v>SEOMA</c:v>
                </c:pt>
                <c:pt idx="53">
                  <c:v>SEPLAN</c:v>
                </c:pt>
                <c:pt idx="54">
                  <c:v>SESP</c:v>
                </c:pt>
                <c:pt idx="55">
                  <c:v>SETIC</c:v>
                </c:pt>
                <c:pt idx="56">
                  <c:v>SINOVA</c:v>
                </c:pt>
                <c:pt idx="57">
                  <c:v>SINTER</c:v>
                </c:pt>
                <c:pt idx="58">
                  <c:v>SO</c:v>
                </c:pt>
                <c:pt idx="59">
                  <c:v>SODC</c:v>
                </c:pt>
                <c:pt idx="60">
                  <c:v>SSI</c:v>
                </c:pt>
                <c:pt idx="61">
                  <c:v>TVUFSC</c:v>
                </c:pt>
              </c:strCache>
            </c:strRef>
          </c:cat>
          <c:val>
            <c:numRef>
              <c:f>Indicadores!$I$177:$I$238</c:f>
              <c:numCache>
                <c:formatCode>General</c:formatCode>
                <c:ptCount val="62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2</c:v>
                </c:pt>
                <c:pt idx="6">
                  <c:v>2</c:v>
                </c:pt>
                <c:pt idx="7">
                  <c:v>13</c:v>
                </c:pt>
                <c:pt idx="8">
                  <c:v>9</c:v>
                </c:pt>
                <c:pt idx="9">
                  <c:v>1</c:v>
                </c:pt>
                <c:pt idx="10">
                  <c:v>3</c:v>
                </c:pt>
                <c:pt idx="11">
                  <c:v>0</c:v>
                </c:pt>
                <c:pt idx="12">
                  <c:v>4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5</c:v>
                </c:pt>
                <c:pt idx="23">
                  <c:v>0</c:v>
                </c:pt>
                <c:pt idx="24">
                  <c:v>0</c:v>
                </c:pt>
                <c:pt idx="25">
                  <c:v>8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5</c:v>
                </c:pt>
                <c:pt idx="46">
                  <c:v>0</c:v>
                </c:pt>
                <c:pt idx="47">
                  <c:v>7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7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4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</c:numCache>
            </c:numRef>
          </c:val>
          <c:extLst xmlns:c16r2="http://schemas.microsoft.com/office/drawing/2015/06/chart">
            <c:ext xmlns:sm="smo" uri="smo">
              <sm:meanLine>
                <c:spPr>
                  <a:ln w="9525">
                    <a:noFill/>
                  </a:ln>
                </c:spPr>
              </sm:meanLine>
              <sm:minMaxLine>
                <c:spPr>
                  <a:ln w="9525">
                    <a:noFill/>
                  </a:ln>
                </c:spPr>
              </sm:minMaxLine>
              <sm:stDevLine>
                <c:spPr>
                  <a:ln w="9525">
                    <a:noFill/>
                  </a:ln>
                </c:spPr>
              </sm:stDevLine>
              <sm:trendLine>
                <c:spPr>
                  <a:ln w="9525">
                    <a:noFill/>
                  </a:ln>
                </c:spPr>
              </sm:trendLine>
            </c:ext>
            <c:ext xmlns:c16="http://schemas.microsoft.com/office/drawing/2014/chart" uri="{C3380CC4-5D6E-409C-BE32-E72D297353CC}">
              <c16:uniqueId val="{0000002C-0180-4F25-ABA8-C3C0DEB21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0741632"/>
        <c:axId val="140743424"/>
      </c:barChart>
      <c:catAx>
        <c:axId val="140741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solidFill>
              <a:srgbClr val="F2F2F2"/>
            </a:solidFill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40743424"/>
        <c:crosses val="autoZero"/>
        <c:auto val="1"/>
        <c:lblAlgn val="l"/>
        <c:lblOffset val="100"/>
        <c:noMultiLvlLbl val="0"/>
      </c:catAx>
      <c:valAx>
        <c:axId val="140743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40741632"/>
        <c:crosses val="autoZero"/>
        <c:crossBetween val="between"/>
      </c:valAx>
      <c:spPr>
        <a:solidFill>
          <a:srgbClr val="0F4098"/>
        </a:solidFill>
        <a:ln w="9525">
          <a:noFill/>
        </a:ln>
      </c:spPr>
    </c:plotArea>
    <c:plotVisOnly val="1"/>
    <c:dispBlanksAs val="gap"/>
    <c:showDLblsOverMax val="0"/>
  </c:chart>
  <c:spPr>
    <a:solidFill>
      <a:srgbClr val="F2F2F2"/>
    </a:solidFill>
    <a:ln w="28575">
      <a:solidFill>
        <a:srgbClr val="FFFFFF"/>
      </a:solidFill>
    </a:ln>
  </c:spPr>
  <c:txPr>
    <a:bodyPr rot="0" anchor="t"/>
    <a:lstStyle/>
    <a:p>
      <a:pPr>
        <a:defRPr lang="pt-BR" sz="1000" b="0" i="0" u="none" strike="noStrike" kern="100">
          <a:solidFill>
            <a:srgbClr val="000000"/>
          </a:solidFill>
          <a:latin typeface="Calibri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 xmlns:c16r2="http://schemas.microsoft.com/office/drawing/2015/06/chart">
    <c:ext xmlns:sm="smo" uri="smo">
      <sm:colorScheme xmlns:sm="smo" id="1624570504" val="15"/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 lang="pt-BR" sz="1400" b="1" i="0" u="none" strike="noStrike" kern="100">
                <a:solidFill>
                  <a:srgbClr val="000000"/>
                </a:solidFill>
                <a:latin typeface="Verdana" charset="0"/>
              </a:defRPr>
            </a:pPr>
            <a:r>
              <a:t>Indicador Categorizado por Modalidade</a:t>
            </a:r>
          </a:p>
        </c:rich>
      </c:tx>
      <c:layout>
        <c:manualLayout>
          <c:xMode val="edge"/>
          <c:yMode val="edge"/>
          <c:x val="2E-3"/>
          <c:y val="2.2499999999999998E-3"/>
        </c:manualLayout>
      </c:layout>
      <c:overlay val="0"/>
      <c:spPr>
        <a:noFill/>
        <a:ln w="9525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EE300"/>
            </a:solidFill>
            <a:ln w="9525">
              <a:noFill/>
            </a:ln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FAE-4AB5-A2EC-171628E0CB11}"/>
              </c:ext>
            </c:extLst>
          </c:dPt>
          <c:dLbls>
            <c:spPr>
              <a:noFill/>
              <a:ln w="9525">
                <a:noFill/>
              </a:ln>
            </c:spPr>
            <c:txPr>
              <a:bodyPr/>
              <a:lstStyle/>
              <a:p>
                <a:pPr>
                  <a:defRPr lang="pt-BR" sz="1000" b="0" i="0" u="none" strike="noStrike" kern="100">
                    <a:solidFill>
                      <a:srgbClr val="FFFFFF"/>
                    </a:solidFill>
                    <a:latin typeface="Verdana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Indicadores!$H$155:$H$160</c:f>
              <c:strCache>
                <c:ptCount val="5"/>
                <c:pt idx="0">
                  <c:v>Pregão Elet. Conc.</c:v>
                </c:pt>
                <c:pt idx="1">
                  <c:v>Leilão</c:v>
                </c:pt>
                <c:pt idx="2">
                  <c:v>Pregão Elet. - SRP</c:v>
                </c:pt>
                <c:pt idx="3">
                  <c:v>Pregão Elet. - Tradicional</c:v>
                </c:pt>
                <c:pt idx="4">
                  <c:v>RDC</c:v>
                </c:pt>
              </c:strCache>
            </c:strRef>
          </c:cat>
          <c:val>
            <c:numRef>
              <c:f>Indicadores!$K$155:$K$160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20.463414634146343</c:v>
                </c:pt>
                <c:pt idx="3">
                  <c:v>2.5</c:v>
                </c:pt>
                <c:pt idx="4">
                  <c:v>15.888888888888889</c:v>
                </c:pt>
              </c:numCache>
            </c:numRef>
          </c:val>
          <c:extLst xmlns:c16r2="http://schemas.microsoft.com/office/drawing/2015/06/chart">
            <c:ext xmlns:sm="smo" uri="smo">
              <sm:meanLine>
                <c:spPr>
                  <a:ln w="9525">
                    <a:noFill/>
                  </a:ln>
                </c:spPr>
              </sm:meanLine>
              <sm:minMaxLine>
                <c:spPr>
                  <a:ln w="9525">
                    <a:noFill/>
                  </a:ln>
                </c:spPr>
              </sm:minMaxLine>
              <sm:stDevLine>
                <c:spPr>
                  <a:ln w="9525">
                    <a:noFill/>
                  </a:ln>
                </c:spPr>
              </sm:stDevLine>
              <sm:trendLine>
                <c:spPr>
                  <a:ln w="9525">
                    <a:noFill/>
                  </a:ln>
                </c:spPr>
              </sm:trendLine>
            </c:ext>
            <c:ext xmlns:c16="http://schemas.microsoft.com/office/drawing/2014/chart" uri="{C3380CC4-5D6E-409C-BE32-E72D297353CC}">
              <c16:uniqueId val="{00000001-5FAE-4AB5-A2EC-171628E0C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62496"/>
        <c:axId val="140420224"/>
      </c:barChart>
      <c:catAx>
        <c:axId val="14076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solidFill>
              <a:srgbClr val="8B8B8B"/>
            </a:solidFill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40420224"/>
        <c:crosses val="autoZero"/>
        <c:auto val="1"/>
        <c:lblAlgn val="l"/>
        <c:lblOffset val="100"/>
        <c:noMultiLvlLbl val="0"/>
      </c:catAx>
      <c:valAx>
        <c:axId val="140420224"/>
        <c:scaling>
          <c:orientation val="minMax"/>
        </c:scaling>
        <c:delete val="0"/>
        <c:axPos val="l"/>
        <c:numFmt formatCode="0.00" sourceLinked="0"/>
        <c:majorTickMark val="out"/>
        <c:minorTickMark val="none"/>
        <c:tickLblPos val="nextTo"/>
        <c:spPr>
          <a:ln w="9525">
            <a:solidFill>
              <a:srgbClr val="8B8B8B"/>
            </a:solidFill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40762496"/>
        <c:crosses val="autoZero"/>
        <c:crossBetween val="between"/>
      </c:valAx>
      <c:spPr>
        <a:solidFill>
          <a:srgbClr val="0F4098"/>
        </a:solidFill>
        <a:ln w="9525">
          <a:noFill/>
        </a:ln>
      </c:spPr>
    </c:plotArea>
    <c:plotVisOnly val="1"/>
    <c:dispBlanksAs val="gap"/>
    <c:showDLblsOverMax val="0"/>
  </c:chart>
  <c:spPr>
    <a:solidFill>
      <a:srgbClr val="F2F2F2"/>
    </a:solidFill>
    <a:ln w="19050">
      <a:solidFill>
        <a:srgbClr val="FFFFFF"/>
      </a:solidFill>
    </a:ln>
  </c:spPr>
  <c:txPr>
    <a:bodyPr rot="0" anchor="t"/>
    <a:lstStyle/>
    <a:p>
      <a:pPr>
        <a:defRPr lang="pt-BR" sz="1000" b="0" i="0" u="none" strike="noStrike" kern="100">
          <a:solidFill>
            <a:srgbClr val="000000"/>
          </a:solidFill>
          <a:latin typeface="Calibri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 xmlns:c16r2="http://schemas.microsoft.com/office/drawing/2015/06/chart">
    <c:ext xmlns:sm="smo" uri="smo">
      <sm:colorScheme xmlns:sm="smo" id="1624570504" val="15"/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 lang="pt-BR" sz="1600" b="1" i="0" u="none" strike="noStrike" kern="100">
                <a:solidFill>
                  <a:srgbClr val="000000"/>
                </a:solidFill>
                <a:latin typeface="Verdana" charset="0"/>
              </a:defRPr>
            </a:pPr>
            <a:r>
              <a:t>Total de Processos por Responsável</a:t>
            </a:r>
          </a:p>
        </c:rich>
      </c:tx>
      <c:layout>
        <c:manualLayout>
          <c:xMode val="edge"/>
          <c:yMode val="edge"/>
          <c:x val="1.75E-3"/>
          <c:y val="5.0000000000000001E-4"/>
        </c:manualLayout>
      </c:layout>
      <c:overlay val="0"/>
      <c:spPr>
        <a:noFill/>
        <a:ln w="9525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EE300"/>
            </a:solidFill>
            <a:ln w="9525">
              <a:noFill/>
            </a:ln>
          </c:spPr>
          <c:invertIfNegative val="0"/>
          <c:dLbls>
            <c:spPr>
              <a:noFill/>
              <a:ln w="9525">
                <a:noFill/>
              </a:ln>
            </c:spPr>
            <c:txPr>
              <a:bodyPr/>
              <a:lstStyle/>
              <a:p>
                <a:pPr>
                  <a:defRPr lang="pt-BR" sz="800" b="0" i="0" u="none" strike="noStrike" kern="100">
                    <a:solidFill>
                      <a:srgbClr val="FFFFFF"/>
                    </a:solidFill>
                    <a:latin typeface="Verdana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Indicadores!$H$252:$H$258</c:f>
              <c:strCache>
                <c:ptCount val="7"/>
                <c:pt idx="0">
                  <c:v>Anderson</c:v>
                </c:pt>
                <c:pt idx="1">
                  <c:v>Diego Eller</c:v>
                </c:pt>
                <c:pt idx="2">
                  <c:v>Diego Ossanes</c:v>
                </c:pt>
                <c:pt idx="3">
                  <c:v>Gerson</c:v>
                </c:pt>
                <c:pt idx="4">
                  <c:v>João (Bnu)</c:v>
                </c:pt>
                <c:pt idx="5">
                  <c:v>Mery</c:v>
                </c:pt>
                <c:pt idx="6">
                  <c:v>Nailor</c:v>
                </c:pt>
              </c:strCache>
            </c:strRef>
          </c:cat>
          <c:val>
            <c:numRef>
              <c:f>Indicadores!$I$252:$I$258</c:f>
              <c:numCache>
                <c:formatCode>General</c:formatCode>
                <c:ptCount val="7"/>
                <c:pt idx="0">
                  <c:v>18</c:v>
                </c:pt>
                <c:pt idx="1">
                  <c:v>20</c:v>
                </c:pt>
                <c:pt idx="2">
                  <c:v>16</c:v>
                </c:pt>
                <c:pt idx="3">
                  <c:v>15</c:v>
                </c:pt>
                <c:pt idx="4">
                  <c:v>0</c:v>
                </c:pt>
                <c:pt idx="5">
                  <c:v>22</c:v>
                </c:pt>
                <c:pt idx="6">
                  <c:v>14</c:v>
                </c:pt>
              </c:numCache>
            </c:numRef>
          </c:val>
          <c:extLst xmlns:c16r2="http://schemas.microsoft.com/office/drawing/2015/06/chart">
            <c:ext xmlns:sm="smo" uri="smo">
              <sm:meanLine>
                <c:spPr>
                  <a:ln w="9525">
                    <a:noFill/>
                  </a:ln>
                </c:spPr>
              </sm:meanLine>
              <sm:minMaxLine>
                <c:spPr>
                  <a:ln w="9525">
                    <a:noFill/>
                  </a:ln>
                </c:spPr>
              </sm:minMaxLine>
              <sm:stDevLine>
                <c:spPr>
                  <a:ln w="9525">
                    <a:noFill/>
                  </a:ln>
                </c:spPr>
              </sm:stDevLine>
              <sm:trendLine>
                <c:spPr>
                  <a:ln w="9525">
                    <a:noFill/>
                  </a:ln>
                </c:spPr>
              </sm:trendLine>
            </c:ext>
            <c:ext xmlns:c16="http://schemas.microsoft.com/office/drawing/2014/chart" uri="{C3380CC4-5D6E-409C-BE32-E72D297353CC}">
              <c16:uniqueId val="{00000000-5686-4BDE-A89A-3F1AC3F12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76960"/>
        <c:axId val="140778496"/>
      </c:barChart>
      <c:catAx>
        <c:axId val="14077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solidFill>
              <a:srgbClr val="8B8B8B"/>
            </a:solidFill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40778496"/>
        <c:crosses val="autoZero"/>
        <c:auto val="1"/>
        <c:lblAlgn val="l"/>
        <c:lblOffset val="100"/>
        <c:noMultiLvlLbl val="0"/>
      </c:catAx>
      <c:valAx>
        <c:axId val="1407784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9525">
            <a:solidFill>
              <a:srgbClr val="8B8B8B"/>
            </a:solidFill>
          </a:ln>
        </c:spPr>
        <c:txPr>
          <a:bodyPr/>
          <a:lstStyle/>
          <a:p>
            <a:pPr>
              <a:defRPr lang="pt-BR" sz="800" b="0" i="0" u="none" strike="noStrike" kern="100">
                <a:solidFill>
                  <a:srgbClr val="000000"/>
                </a:solidFill>
                <a:latin typeface="Verdana" charset="0"/>
              </a:defRPr>
            </a:pPr>
            <a:endParaRPr lang="pt-BR"/>
          </a:p>
        </c:txPr>
        <c:crossAx val="140776960"/>
        <c:crosses val="autoZero"/>
        <c:crossBetween val="between"/>
      </c:valAx>
      <c:spPr>
        <a:solidFill>
          <a:srgbClr val="0F4098"/>
        </a:solidFill>
        <a:ln w="9525">
          <a:noFill/>
        </a:ln>
      </c:spPr>
    </c:plotArea>
    <c:plotVisOnly val="1"/>
    <c:dispBlanksAs val="gap"/>
    <c:showDLblsOverMax val="0"/>
  </c:chart>
  <c:spPr>
    <a:solidFill>
      <a:srgbClr val="F2F2F2"/>
    </a:solidFill>
    <a:ln w="19050">
      <a:solidFill>
        <a:srgbClr val="FFFFFF"/>
      </a:solidFill>
    </a:ln>
  </c:spPr>
  <c:txPr>
    <a:bodyPr rot="0" anchor="t"/>
    <a:lstStyle/>
    <a:p>
      <a:pPr>
        <a:defRPr lang="pt-BR" sz="1000" b="0" i="0" u="none" strike="noStrike" kern="100">
          <a:solidFill>
            <a:srgbClr val="000000"/>
          </a:solidFill>
          <a:latin typeface="Calibri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 xmlns:c16r2="http://schemas.microsoft.com/office/drawing/2015/06/chart">
    <c:ext xmlns:sm="smo" uri="smo">
      <sm:colorScheme xmlns:sm="smo" id="1624570504" val="15"/>
    </c:ext>
  </c:extLst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hyperlink" Target="#Indicadores!A1"/><Relationship Id="rId4" Type="http://schemas.openxmlformats.org/officeDocument/2006/relationships/hyperlink" Target="#Processos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17" Type="http://schemas.openxmlformats.org/officeDocument/2006/relationships/chart" Target="../charts/chart16.xml"/><Relationship Id="rId2" Type="http://schemas.openxmlformats.org/officeDocument/2006/relationships/chart" Target="../charts/chart1.xml"/><Relationship Id="rId16" Type="http://schemas.openxmlformats.org/officeDocument/2006/relationships/chart" Target="../charts/chart15.xml"/><Relationship Id="rId20" Type="http://schemas.openxmlformats.org/officeDocument/2006/relationships/chart" Target="../charts/chart19.xml"/><Relationship Id="rId1" Type="http://schemas.openxmlformats.org/officeDocument/2006/relationships/image" Target="../media/image6.png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5" Type="http://schemas.openxmlformats.org/officeDocument/2006/relationships/chart" Target="../charts/chart14.xml"/><Relationship Id="rId10" Type="http://schemas.openxmlformats.org/officeDocument/2006/relationships/chart" Target="../charts/chart9.xml"/><Relationship Id="rId19" Type="http://schemas.openxmlformats.org/officeDocument/2006/relationships/chart" Target="../charts/chart18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381000</xdr:colOff>
      <xdr:row>26</xdr:row>
      <xdr:rowOff>161925</xdr:rowOff>
    </xdr:from>
    <xdr:to>
      <xdr:col>20</xdr:col>
      <xdr:colOff>234315</xdr:colOff>
      <xdr:row>28</xdr:row>
      <xdr:rowOff>41275</xdr:rowOff>
    </xdr:to>
    <xdr:sp macro="" textlink="" fLocksText="0">
      <xdr:nvSpPr>
        <xdr:cNvPr id="32" name="CustomShape 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AAAAAAAAAAAEAAABQAAAA7tcXRaDppz8AAAAAAAAAAAAAAAAAAOA/AAAAAAAA4D8AAAAAAADgPwAAAAAAAOA/AAAAAAAA4D8AAAAAAADgPwAAAAAAAOA/AAAAAAAA4D8CAAAAjAAAAAEAAAAAAAAA8vLy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AAAAAAMAAAAEAAAAAAAAAAAAAAAAAAAAAAAAAAeAAAAaAAAAAAAAAAAAAAAAAAAAAAAAAAAAAAAECcAABAnAAAAAAAAAAAAAAAAAAAAAAAAAAAAAAAAAAAAAAAAAAAAAFAAAAAAAAAAwMD/AAAAAABkAAAAMgAAAAAAAABkAAAAAAAAAH9/fwAKAAAAIQAAADAAAAAsAAAAGgAAABEAAABQA3kCHAAAABQAAADYAIUB00IAAEcgAAB6CgAAqgEAAAAAAAA="/>
            </a:ext>
          </a:extLst>
        </xdr:cNvSpPr>
      </xdr:nvSpPr>
      <xdr:spPr>
        <a:xfrm>
          <a:off x="10862945" y="5247005"/>
          <a:ext cx="1703070" cy="270510"/>
        </a:xfrm>
        <a:prstGeom prst="round2DiagRect">
          <a:avLst>
            <a:gd name="adj1" fmla="val 14702"/>
            <a:gd name="adj2" fmla="val 0"/>
          </a:avLst>
        </a:prstGeom>
        <a:solidFill>
          <a:srgbClr val="F2F2F2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t" upright="1"/>
        <a:lstStyle/>
        <a:p>
          <a:pPr algn="r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A</a:t>
          </a:r>
          <a:r>
            <a:rPr lang="pt-BR" sz="8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lienação</a:t>
          </a:r>
        </a:p>
      </xdr:txBody>
    </xdr:sp>
    <xdr:clientData/>
  </xdr:twoCellAnchor>
  <xdr:twoCellAnchor editAs="oneCell">
    <xdr:from>
      <xdr:col>4</xdr:col>
      <xdr:colOff>3175</xdr:colOff>
      <xdr:row>0</xdr:row>
      <xdr:rowOff>6350</xdr:rowOff>
    </xdr:from>
    <xdr:to>
      <xdr:col>30</xdr:col>
      <xdr:colOff>6985</xdr:colOff>
      <xdr:row>23</xdr:row>
      <xdr:rowOff>172085</xdr:rowOff>
    </xdr:to>
    <xdr:pic>
      <xdr:nvPicPr>
        <xdr:cNvPr id="31" name="Imagem 11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PicPr>
          <a:extLst>
            <a:ext uri="smNativeData">
              <pm:smNativeData xmlns="" xmlns:pm="smNativeData" val="SMDATA_13_iPrUYBMAAAAlAAAAEQ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kgwAAAAAAABkAAAAZAAAAAAAAAAjAAAABAAAAGQAAAAXAAAAFAAAAAAAAAAAAAAA/38AAP9/AAAAAAAACQAAAAQAAAAAQAAADAAAABAAAAAAAAAAAAAAAAAAAAAAAAAAHgAAAGgAAAAAAAAAAAAAAAAAAAAAAAAAAAAAABAnAAAQJwAAAAAAAAAAAAAAAAAAAAAAAAAAAAAAAAAAAAAAAAAAAAAUAAAAAAAAAMDA/wAAAAAAZAAAADIAAAAAAAAAZAAAAAAAAAB/f38ACgAAACEAAAAwAAAALAAAAAAAAAAEAAAAIQAFABcAAAAeAAAAhQMMADEPAAAKAAAApGIAALEcAAABAAAA"/>
            </a:ext>
          </a:extLst>
        </xdr:cNvPicPr>
      </xdr:nvPicPr>
      <xdr:blipFill>
        <a:blip xmlns:r="http://schemas.openxmlformats.org/officeDocument/2006/relationships" r:embed="rId1"/>
        <a:srcRect b="32180"/>
        <a:stretch>
          <a:fillRect/>
        </a:stretch>
      </xdr:blipFill>
      <xdr:spPr>
        <a:xfrm>
          <a:off x="2469515" y="6350"/>
          <a:ext cx="16035020" cy="4664075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25</xdr:col>
      <xdr:colOff>295275</xdr:colOff>
      <xdr:row>4</xdr:row>
      <xdr:rowOff>133350</xdr:rowOff>
    </xdr:from>
    <xdr:to>
      <xdr:col>28</xdr:col>
      <xdr:colOff>384175</xdr:colOff>
      <xdr:row>6</xdr:row>
      <xdr:rowOff>90805</xdr:rowOff>
    </xdr:to>
    <xdr:sp macro="" textlink="" fLocksText="0">
      <xdr:nvSpPr>
        <xdr:cNvPr id="30" name="CustomShape 1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CAAAAAAAAAAEAAABQAAAAnQdHDIMArD8AAAAAAAAAAAAAAAAAAOA/AAAAAAAA4D8AAAAAAADgPwAAAAAAAOA/AAAAAAAA4D8AAAAAAADgPwAAAAAAAOA/AAAAAAAA4D8CAAAAjAAAAAEAAAAAAAAA8vLy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AAAAAAMAAAAEAAAAAAAAAAAAAAAAAAAAAAAAAAeAAAAaAAAAAAAAAAAAAAAAAAAAAAAAAAAAAAAECcAABAnAAAAAAAAAAAAAAAAAAAAAAAAAAAAAAAAAAAAAAAAAAAAAFAAAAAAAAAAwMD/AAAAAABkAAAAMgAAAAAAAABkAAAAAAAAAH9/fwAKAAAAIQAAADAAAAAsAAAABAAAABkAAAC6AuoBBgAAABwAAADbAX4CpGAAAKIFAADtCwAAJQIAAAAAAAA="/>
            </a:ext>
          </a:extLst>
        </xdr:cNvSpPr>
      </xdr:nvSpPr>
      <xdr:spPr>
        <a:xfrm>
          <a:off x="15709900" y="915670"/>
          <a:ext cx="1938655" cy="348615"/>
        </a:xfrm>
        <a:prstGeom prst="round2DiagRect">
          <a:avLst>
            <a:gd name="adj1" fmla="val 15207"/>
            <a:gd name="adj2" fmla="val 0"/>
          </a:avLst>
        </a:prstGeom>
        <a:solidFill>
          <a:srgbClr val="F2F2F2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b" upright="1"/>
        <a:lstStyle/>
        <a:p>
          <a:pPr algn="r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M</a:t>
          </a:r>
          <a:r>
            <a:rPr lang="pt-BR" sz="8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issão</a:t>
          </a:r>
        </a:p>
      </xdr:txBody>
    </xdr:sp>
    <xdr:clientData/>
  </xdr:twoCellAnchor>
  <xdr:twoCellAnchor>
    <xdr:from>
      <xdr:col>6</xdr:col>
      <xdr:colOff>361950</xdr:colOff>
      <xdr:row>33</xdr:row>
      <xdr:rowOff>171450</xdr:rowOff>
    </xdr:from>
    <xdr:to>
      <xdr:col>9</xdr:col>
      <xdr:colOff>450850</xdr:colOff>
      <xdr:row>36</xdr:row>
      <xdr:rowOff>72390</xdr:rowOff>
    </xdr:to>
    <xdr:sp macro="" textlink="" fLocksText="0">
      <xdr:nvSpPr>
        <xdr:cNvPr id="29" name="CustomShape 1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CAAAAAAAAAAEAAABQAAAAFnaUNJhjsz8AAAAAAAAAAAAAAAAAAOA/AAAAAAAA4D8AAAAAAADgPwAAAAAAAOA/AAAAAAAA4D8AAAAAAADgPwAAAAAAAOA/AAAAAAAA4D8CAAAAjAAAAAEAAAAAAAAA8vLy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AAAAAAMAAAAEAAAAAAAAAAAAAAAAAAAAAAAAAAeAAAAaAAAAAAAAAAAAAAAAAAAAAAAAAAAAAAAECcAABAnAAAAAAAAAAAAAAAAAAAAAAAAAAAAAAAAAAAAAAAAAAAAAFAAAAAAAAAAwMD/AAAAAABkAAAAMgAAAAAAAABkAAAAAAAAAH9/fwAKAAAAIQAAADAAAAAsAAAAIQAAAAYAAACCA1kCJAAAAAkAAAB7Ae0C/BgAAMIoAADtCwAAAAMAAAAAAAA="/>
            </a:ext>
          </a:extLst>
        </xdr:cNvSpPr>
      </xdr:nvSpPr>
      <xdr:spPr>
        <a:xfrm>
          <a:off x="4061460" y="6625590"/>
          <a:ext cx="1938655" cy="487680"/>
        </a:xfrm>
        <a:prstGeom prst="round2DiagRect">
          <a:avLst>
            <a:gd name="adj1" fmla="val 15054"/>
            <a:gd name="adj2" fmla="val 0"/>
          </a:avLst>
        </a:prstGeom>
        <a:solidFill>
          <a:srgbClr val="F2F2F2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b" upright="1"/>
        <a:lstStyle/>
        <a:p>
          <a:pPr algn="r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G</a:t>
          </a:r>
          <a:r>
            <a:rPr lang="pt-BR" sz="8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erenciamento </a:t>
          </a:r>
        </a:p>
        <a:p>
          <a:pPr algn="r" defTabSz="360045" rtl="0">
            <a:defRPr sz="1000"/>
          </a:pPr>
          <a:r>
            <a:rPr lang="pt-BR" sz="8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dos processos</a:t>
          </a:r>
        </a:p>
      </xdr:txBody>
    </xdr:sp>
    <xdr:clientData/>
  </xdr:twoCellAnchor>
  <xdr:twoCellAnchor>
    <xdr:from>
      <xdr:col>11</xdr:col>
      <xdr:colOff>447675</xdr:colOff>
      <xdr:row>33</xdr:row>
      <xdr:rowOff>152400</xdr:rowOff>
    </xdr:from>
    <xdr:to>
      <xdr:col>14</xdr:col>
      <xdr:colOff>537845</xdr:colOff>
      <xdr:row>36</xdr:row>
      <xdr:rowOff>53340</xdr:rowOff>
    </xdr:to>
    <xdr:sp macro="" textlink="" fLocksText="0">
      <xdr:nvSpPr>
        <xdr:cNvPr id="28" name="CustomShape 1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CAAAAAAAAAAEAAABQAAAA/OzN11Bjsz8AAAAAAAAAAAAAAAAAAOA/AAAAAAAA4D8AAAAAAADgPwAAAAAAAOA/AAAAAAAA4D8AAAAAAADgPwAAAAAAAOA/AAAAAAAA4D8CAAAAjAAAAAEAAAAAAAAA8vLy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AAAAAAMAAAAEAAAAAAAAAAAAAAAAAAAAAAAAAAeAAAAaAAAAAAAAAAAAAAAAAAAAAAAAAAAAAAAECcAABAnAAAAAAAAAAAAAAAAAAAAAAAAAAAAAAAAAAAAAAAAAAAAAFAAAAAAAAAAwMD/AAAAAABkAAAAMgAAAAAAAABkAAAAAAAAAH9/fwAKAAAAIQAAADAAAAAsAAAAIQAAAAsAAAAeA+cCJAAAAA4AAAAXAX0DeiwAAKQoAADvCwAAAAMAAAAAAAA="/>
            </a:ext>
          </a:extLst>
        </xdr:cNvSpPr>
      </xdr:nvSpPr>
      <xdr:spPr>
        <a:xfrm>
          <a:off x="7230110" y="6606540"/>
          <a:ext cx="1939925" cy="487680"/>
        </a:xfrm>
        <a:prstGeom prst="round2DiagRect">
          <a:avLst>
            <a:gd name="adj1" fmla="val 15063"/>
            <a:gd name="adj2" fmla="val 0"/>
          </a:avLst>
        </a:prstGeom>
        <a:solidFill>
          <a:srgbClr val="F2F2F2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b" upright="1"/>
        <a:lstStyle/>
        <a:p>
          <a:pPr algn="r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I</a:t>
          </a:r>
          <a:r>
            <a:rPr lang="pt-BR" sz="8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ndicadores </a:t>
          </a:r>
        </a:p>
        <a:p>
          <a:pPr algn="r" defTabSz="360045" rtl="0">
            <a:defRPr sz="1000"/>
          </a:pPr>
          <a:r>
            <a:rPr lang="pt-BR" sz="8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dos processos</a:t>
          </a:r>
        </a:p>
      </xdr:txBody>
    </xdr:sp>
    <xdr:clientData/>
  </xdr:twoCellAnchor>
  <xdr:twoCellAnchor editAs="oneCell">
    <xdr:from>
      <xdr:col>2</xdr:col>
      <xdr:colOff>24130</xdr:colOff>
      <xdr:row>0</xdr:row>
      <xdr:rowOff>66675</xdr:rowOff>
    </xdr:from>
    <xdr:to>
      <xdr:col>3</xdr:col>
      <xdr:colOff>490855</xdr:colOff>
      <xdr:row>5</xdr:row>
      <xdr:rowOff>190500</xdr:rowOff>
    </xdr:to>
    <xdr:pic>
      <xdr:nvPicPr>
        <xdr:cNvPr id="27" name="Imagem 3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PicPr>
          <a:extLst>
            <a:ext uri="smNativeData">
              <pm:smNativeData xmlns="" xmlns:pm="smNativeData" val="SMDATA_13_iPrUYBMAAAAlAAAAEQ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BBAEEADAAAABAAAAAAAAAAAAAAAAAAAAAAAAAAHgAAAGgAAAAAAAAAAAAAAAAAAAAAAAAAAAAAABAnAAAQJwAAAAAAAAAAAAAAAAAAAAAAAAAAAAAAAAAAAAAAAAAAAAAUAAAAAAAAAMDA/wAAAAAAZAAAADIAAAAAAAAAZAAAAAAAAAB/f38ACgAAACEAAAAwAAAALAAAAAAAAAACAAAAXQEoAAUAAAADAAAA5QMvA7wHAABpAAAAqgYAAMcGAAABAAAA"/>
            </a:ext>
          </a:extLst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7300" y="66675"/>
          <a:ext cx="1083310" cy="1101725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>
    <xdr:from>
      <xdr:col>0</xdr:col>
      <xdr:colOff>180975</xdr:colOff>
      <xdr:row>33</xdr:row>
      <xdr:rowOff>53340</xdr:rowOff>
    </xdr:from>
    <xdr:to>
      <xdr:col>3</xdr:col>
      <xdr:colOff>458470</xdr:colOff>
      <xdr:row>40</xdr:row>
      <xdr:rowOff>59055</xdr:rowOff>
    </xdr:to>
    <xdr:sp macro="" textlink="" fLocksText="0">
      <xdr:nvSpPr>
        <xdr:cNvPr id="26" name="CustomShape 1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>
          <a:extLst>
            <a:ext uri="smNativeData">
              <pm:smNativeData xmlns="" xmlns:pm="smNativeData" val="SMDATA_11_iPrUYBMAAAAlAAAAZAAAAI0AAAAAjgAAAEcAAACOAAAARw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AAAAAMAAAAEAAAAAAAAAAAAAAAAAAAAAAAAAAeAAAAaAAAAAAAAAAAAAAAAAAAAAAAAAAAAAAAECcAABAnAAAAAAAAAAAAAAAAAAAAAAAAAAAAAAAAAAAAAAAAAAAAABQAAAAAAAAAwMD/AAAAAABkAAAAMgAAAAAAAABkAAAAAAAAAH9/fwAKAAAAIQAAADAAAAAsAAAAIQAAAAAAAAAXAS0BKAAAAAMAAAA1AfkCHQEAAAgoAAAWDQAAdQgAAAAAAAA="/>
            </a:ext>
          </a:extLst>
        </xdr:cNvSpPr>
      </xdr:nvSpPr>
      <xdr:spPr>
        <a:xfrm>
          <a:off x="180975" y="6507480"/>
          <a:ext cx="2127250" cy="1374775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90170" tIns="45085" rIns="90170" bIns="45085" anchor="t" upright="1"/>
        <a:lstStyle/>
        <a:p>
          <a:pPr algn="r" defTabSz="360045" rtl="0">
            <a:defRPr sz="1000"/>
          </a:pPr>
          <a:r>
            <a:rPr lang="pt-BR" sz="1200" b="1" i="0" u="none" strike="noStrike" kern="100" baseline="0">
              <a:solidFill>
                <a:srgbClr val="FFFFFF"/>
              </a:solidFill>
              <a:latin typeface="Agency FB" pitchFamily="2" charset="0"/>
              <a:ea typeface="Arial" pitchFamily="2" charset="0"/>
              <a:cs typeface="Arial" pitchFamily="2" charset="0"/>
            </a:rPr>
            <a:t>DEPARTAMENTO DE LICITAÇÕES  DPL/PROAD/UFSC</a:t>
          </a:r>
        </a:p>
        <a:p>
          <a:pPr algn="r" defTabSz="360045" rtl="0">
            <a:defRPr sz="1000"/>
          </a:pPr>
          <a:endParaRPr/>
        </a:p>
        <a:p>
          <a:pPr algn="r" defTabSz="360045" rtl="0">
            <a:defRPr sz="1000"/>
          </a:pPr>
          <a:r>
            <a:rPr lang="pt-BR" sz="1100" b="0" i="0" u="none" strike="noStrike" kern="100" baseline="0">
              <a:solidFill>
                <a:srgbClr val="FFFFFF"/>
              </a:solidFill>
              <a:latin typeface="Agency FB" pitchFamily="2" charset="0"/>
              <a:ea typeface="Arial" pitchFamily="2" charset="0"/>
              <a:cs typeface="Arial" pitchFamily="2" charset="0"/>
            </a:rPr>
            <a:t>Av. Desembargador Vitor Lima, 222</a:t>
          </a:r>
        </a:p>
        <a:p>
          <a:pPr algn="r" defTabSz="360045" rtl="0">
            <a:defRPr sz="1000"/>
          </a:pPr>
          <a:r>
            <a:rPr lang="pt-BR" sz="1100" b="0" i="0" u="none" strike="noStrike" kern="100" baseline="0">
              <a:solidFill>
                <a:srgbClr val="FFFFFF"/>
              </a:solidFill>
              <a:latin typeface="Agency FB" pitchFamily="2" charset="0"/>
              <a:ea typeface="Arial" pitchFamily="2" charset="0"/>
              <a:cs typeface="Arial" pitchFamily="2" charset="0"/>
            </a:rPr>
            <a:t>Sala 501 – Reitoria II</a:t>
          </a:r>
        </a:p>
        <a:p>
          <a:pPr algn="r" defTabSz="360045" rtl="0">
            <a:defRPr sz="1000"/>
          </a:pPr>
          <a:r>
            <a:rPr lang="pt-BR" sz="1100" b="0" i="0" u="none" strike="noStrike" kern="100" baseline="0">
              <a:solidFill>
                <a:srgbClr val="FFFFFF"/>
              </a:solidFill>
              <a:latin typeface="Agency FB" pitchFamily="2" charset="0"/>
              <a:ea typeface="Arial" pitchFamily="2" charset="0"/>
              <a:cs typeface="Arial" pitchFamily="2" charset="0"/>
            </a:rPr>
            <a:t>Trindade – Florianópolis – SC</a:t>
          </a:r>
        </a:p>
        <a:p>
          <a:pPr algn="r" defTabSz="360045" rtl="0">
            <a:defRPr sz="1000"/>
          </a:pPr>
          <a:r>
            <a:rPr lang="pt-BR" sz="1100" b="0" i="0" u="none" strike="noStrike" kern="100" baseline="0">
              <a:solidFill>
                <a:srgbClr val="FFFFFF"/>
              </a:solidFill>
              <a:latin typeface="Agency FB" pitchFamily="2" charset="0"/>
              <a:ea typeface="Arial" pitchFamily="2" charset="0"/>
              <a:cs typeface="Arial" pitchFamily="2" charset="0"/>
            </a:rPr>
            <a:t>88.040-400 </a:t>
          </a:r>
        </a:p>
      </xdr:txBody>
    </xdr:sp>
    <xdr:clientData/>
  </xdr:twoCellAnchor>
  <xdr:twoCellAnchor>
    <xdr:from>
      <xdr:col>0</xdr:col>
      <xdr:colOff>396875</xdr:colOff>
      <xdr:row>35</xdr:row>
      <xdr:rowOff>142240</xdr:rowOff>
    </xdr:from>
    <xdr:to>
      <xdr:col>3</xdr:col>
      <xdr:colOff>364490</xdr:colOff>
      <xdr:row>36</xdr:row>
      <xdr:rowOff>2540</xdr:rowOff>
    </xdr:to>
    <xdr:sp macro="" textlink="" fLocksText="0">
      <xdr:nvSpPr>
        <xdr:cNvPr id="25" name="CustomShape 1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>
          <a:extLst>
            <a:ext uri="smNativeData">
              <pm:smNativeData xmlns="" xmlns:pm="smNativeData" val="SMDATA_11_iPrUYBMAAAAlAAAAZAAAAI0AAAAAkAAAAEgAAACQAAAASAAAAAAAAAAAAAAAAAAAAAEAAABQAAAAAAAAAAAA4D8AAAAAAADgPwAAAAAAAOA/AAAAAAAA4D8AAAAAAADgPwAAAAAAAOA/AAAAAAAA4D8AAAAAAADgPwAAAAAAAOA/AAAAAAAA4D8CAAAAjAAAAAEAAAAAAAAAD0CY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BAAAAAAAAAAEAAAAAAAAAPAAAAAAAAAA8AAAAZAAAAGQAAAAAAAAAy8vLADwAAAAAAAAAPAAAAGQAAABkAAAAAAAAABcAAAAUAAAAAAAAAAAAAAD/fwAA/38AAAAAAAAJAAAABAAAAAAAAAAMAAAAEAAAAAAAAAAAAAAAAAAAAAAAAAAeAAAAaAAAAAAAAAAAAAAAAAAAAAAAAAAAAAAAECcAABAnAAAAAAAAAAAAAAAAAAAAAAAAAAAAAAAAAAAAAAAAAAAAAFAAAAAAAAAAwMD/AAAAAABkAAAAMgAAAAAAAABkAAAAAAAAAH9/fwAKAAAAIQAAADAAAAAsAAAAIwAAAAAAAADpApMCJAAAAAMAAAANAF0CcQIAAPwqAAAuCwAAWAAAAAAAAAA="/>
            </a:ext>
          </a:extLst>
        </xdr:cNvSpPr>
      </xdr:nvSpPr>
      <xdr:spPr>
        <a:xfrm>
          <a:off x="396875" y="6987540"/>
          <a:ext cx="1817370" cy="55880"/>
        </a:xfrm>
        <a:prstGeom prst="rect">
          <a:avLst/>
        </a:prstGeom>
        <a:solidFill>
          <a:srgbClr val="0F4098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8100" dir="5400000" algn="t">
            <a:srgbClr val="000000">
              <a:alpha val="40000"/>
            </a:srgbClr>
          </a:outerShdw>
        </a:effectLst>
      </xdr:spPr>
    </xdr:sp>
    <xdr:clientData/>
  </xdr:twoCellAnchor>
  <xdr:twoCellAnchor>
    <xdr:from>
      <xdr:col>0</xdr:col>
      <xdr:colOff>0</xdr:colOff>
      <xdr:row>6</xdr:row>
      <xdr:rowOff>60325</xdr:rowOff>
    </xdr:from>
    <xdr:to>
      <xdr:col>3</xdr:col>
      <xdr:colOff>382270</xdr:colOff>
      <xdr:row>8</xdr:row>
      <xdr:rowOff>88900</xdr:rowOff>
    </xdr:to>
    <xdr:sp macro="" textlink="" fLocksText="0">
      <xdr:nvSpPr>
        <xdr:cNvPr id="24" name="CustomShape 1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>
          <a:extLst>
            <a:ext uri="smNativeData">
              <pm:smNativeData xmlns="" xmlns:pm="smNativeData" val="SMDATA_11_iPrUYBMAAAAlAAAAZAAAAI0AAAAAjgAAAEcAAACOAAAARw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AAAAAMAAAAEAAAAAAAAAAAAAAAAAAAAAAAAAAeAAAAaAAAAAAAAAAAAAAAAAAAAAAAAAAAAAAAECcAABAnAAAAAAAAAAAAAAAAAAAAAAAAAAAAAAAAAAAAAAAAAAAAABQAAAAAAAAAwMD/AAAAAABkAAAAMgAAAAAAAABkAAAAAAAAAH9/fwAKAAAAIQAAADAAAAAsAAAABgAAAAAAAAA8AQAACAAAAAMAAADRAXsCAAAAAJcHAAC7DQAAlQIAAAAAAAA="/>
            </a:ext>
          </a:extLst>
        </xdr:cNvSpPr>
      </xdr:nvSpPr>
      <xdr:spPr>
        <a:xfrm>
          <a:off x="0" y="1233805"/>
          <a:ext cx="2232025" cy="419735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90170" tIns="45085" rIns="90170" bIns="45085" anchor="t" upright="1"/>
        <a:lstStyle/>
        <a:p>
          <a:pPr algn="r" defTabSz="360045" rtl="0">
            <a:defRPr sz="1000"/>
          </a:pPr>
          <a:r>
            <a:rPr lang="pt-BR" sz="1000" b="1" i="0" u="none" strike="noStrike" kern="100" baseline="0">
              <a:solidFill>
                <a:srgbClr val="0F4098"/>
              </a:solidFill>
              <a:latin typeface="Agency FB" pitchFamily="2" charset="0"/>
              <a:ea typeface="Arial" pitchFamily="2" charset="0"/>
              <a:cs typeface="Arial" pitchFamily="2" charset="0"/>
            </a:rPr>
            <a:t>UNIVERSIDADE FEDERAL DE SANTA CATARINA</a:t>
          </a:r>
        </a:p>
        <a:p>
          <a:pPr algn="r" defTabSz="360045" rtl="0">
            <a:defRPr sz="1000"/>
          </a:pPr>
          <a:r>
            <a:rPr lang="pt-BR" sz="1000" b="1" i="0" u="none" strike="noStrike" kern="100" baseline="0">
              <a:solidFill>
                <a:srgbClr val="0F4098"/>
              </a:solidFill>
              <a:latin typeface="Agency FB" pitchFamily="2" charset="0"/>
              <a:ea typeface="Arial" pitchFamily="2" charset="0"/>
              <a:cs typeface="Arial" pitchFamily="2" charset="0"/>
            </a:rPr>
            <a:t>PRÓ-REITORIA DE ADMINITRAÇÃO - PROAD</a:t>
          </a:r>
        </a:p>
      </xdr:txBody>
    </xdr:sp>
    <xdr:clientData/>
  </xdr:twoCellAnchor>
  <xdr:twoCellAnchor editAs="oneCell">
    <xdr:from>
      <xdr:col>1</xdr:col>
      <xdr:colOff>381000</xdr:colOff>
      <xdr:row>27</xdr:row>
      <xdr:rowOff>66675</xdr:rowOff>
    </xdr:from>
    <xdr:to>
      <xdr:col>3</xdr:col>
      <xdr:colOff>375920</xdr:colOff>
      <xdr:row>32</xdr:row>
      <xdr:rowOff>190500</xdr:rowOff>
    </xdr:to>
    <xdr:pic>
      <xdr:nvPicPr>
        <xdr:cNvPr id="23" name="Imagem 9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>
          <a:extLst>
            <a:ext uri="smNativeData">
              <pm:smNativeData xmlns="" xmlns:pm="smNativeData" val="SMDATA_13_iPrUYBMAAAAlAAAAEQ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2ggAADcFAADaCAAA2wIAAAAAAABkAAAAZAAAAAAAAAAjAAAABAAAAGQAAAAXAAAAFAAAAAAAAAAAAAAA/38AAP9/AAAAAAAACQAAAAQAAAAAQAAADAAAABAAAAAAAAAAAAAAAAAAAAAAAAAAHgAAAGgAAAAAAAAAAAAAAAAAAAAAAAAAAAAAABAnAAAQJwAAAAAAAAAAAAAAAAAAAAAAAAAAAAAAAAAAAAAAAAAAAAAUAAAAAAAAAMDA/wAAAAAAZAAAADIAAAAAAAAAZAAAAAAAAAB/f38ACgAAACEAAAAwAAAALAAAABsAAAABAAAAXQF5AiAAAAADAAAA5QNwAiMGAADlIAAAjgcAAMcGAAABAAAA"/>
            </a:ext>
          </a:extLst>
        </xdr:cNvPicPr>
      </xdr:nvPicPr>
      <xdr:blipFill>
        <a:blip xmlns:r="http://schemas.openxmlformats.org/officeDocument/2006/relationships" r:embed="rId3"/>
        <a:srcRect l="22660" t="13350" r="22660" b="7310"/>
        <a:stretch>
          <a:fillRect/>
        </a:stretch>
      </xdr:blipFill>
      <xdr:spPr>
        <a:xfrm>
          <a:off x="997585" y="5347335"/>
          <a:ext cx="1228090" cy="1101725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>
    <xdr:from>
      <xdr:col>5</xdr:col>
      <xdr:colOff>9525</xdr:colOff>
      <xdr:row>23</xdr:row>
      <xdr:rowOff>36830</xdr:rowOff>
    </xdr:from>
    <xdr:to>
      <xdr:col>14</xdr:col>
      <xdr:colOff>608330</xdr:colOff>
      <xdr:row>26</xdr:row>
      <xdr:rowOff>2540</xdr:rowOff>
    </xdr:to>
    <xdr:sp macro="" textlink="" fLocksText="0">
      <xdr:nvSpPr>
        <xdr:cNvPr id="22" name="CustomShape 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extLst>
            <a:ext uri="smNativeData">
              <pm:smNativeData xmlns="" xmlns:pm="smNativeData" val="SMDATA_11_iPrUYBMAAAAlAAAArwAAAI0AAAAAjgAAAEcAAACOAAAARwAAAAAAAAABAAAAAAAAAAEAAABQAAAA3VKkWVQKnD8AAAAAAAAAAAAAAAAAAOA/AAAAAAAA4D8AAAAAAADgPwAAAAAAAOA/AAAAAAAA4D8AAAAAAADgPwAAAAAAAOA/AAAAAAAA4D8CAAAAjAAAAAEAAAAAAAAA/uMAAAAAAAAZ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AAAAAAAAAAAEAAAAAAAAAPAAAACoAAAAqAAAAZAAAAGQAAAAAAAAAy8vLADwAAAAqAAAAKgAAAGQAAABkAAAAAAAAABcAAAAUAAAAAAAAAAAAAAD/fwAA/38AAAAAAAAJAAAABAAAAAAAAAAMAAAAEAAAAAAAAAAAAAAAAAAAAAAAAAAeAAAAaAAAAAAAAAAAAAAAAAAAAAAAAAAAAAAAECcAABAnAAAAAAAAAAAAAAAAAAAAAAAAAAAAAAAAAAAAAAAAAAAAAFAAAAAAAAAAwMD/AAAAAABkAAAAMgAAAAAAAABkAAAAAAAAAH9/fwAKAAAAIQAAADAAAAAsAAAAFwAAAAUAAADBABAAGgAAAA4AAAANAPIDBhMAAOYbAADSJQAAZgMAAAAAAAA="/>
            </a:ext>
          </a:extLst>
        </xdr:cNvSpPr>
      </xdr:nvSpPr>
      <xdr:spPr>
        <a:xfrm>
          <a:off x="3092450" y="4535170"/>
          <a:ext cx="6148070" cy="552450"/>
        </a:xfrm>
        <a:prstGeom prst="round2SameRect">
          <a:avLst>
            <a:gd name="adj1" fmla="val 15237"/>
            <a:gd name="adj2" fmla="val 0"/>
          </a:avLst>
        </a:prstGeom>
        <a:solidFill>
          <a:srgbClr val="FEE300">
            <a:alpha val="75000"/>
          </a:srgbClr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2700000" algn="tl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ctr" upright="1"/>
        <a:lstStyle/>
        <a:p>
          <a:pPr algn="ctr" defTabSz="360045" rtl="0">
            <a:defRPr sz="1000"/>
          </a:pPr>
          <a:r>
            <a:rPr lang="pt-BR" sz="1400" b="1" i="0" u="none" strike="noStrike" kern="100" baseline="0">
              <a:solidFill>
                <a:srgbClr val="0F4098"/>
              </a:solidFill>
              <a:latin typeface="Verdana" pitchFamily="2" charset="0"/>
              <a:ea typeface="Verdana" pitchFamily="2" charset="0"/>
              <a:cs typeface="Arial" pitchFamily="2" charset="0"/>
            </a:rPr>
            <a:t>Acesse aqui</a:t>
          </a:r>
        </a:p>
      </xdr:txBody>
    </xdr:sp>
    <xdr:clientData/>
  </xdr:twoCellAnchor>
  <xdr:twoCellAnchor>
    <xdr:from>
      <xdr:col>19</xdr:col>
      <xdr:colOff>171450</xdr:colOff>
      <xdr:row>1</xdr:row>
      <xdr:rowOff>102870</xdr:rowOff>
    </xdr:from>
    <xdr:to>
      <xdr:col>28</xdr:col>
      <xdr:colOff>603885</xdr:colOff>
      <xdr:row>5</xdr:row>
      <xdr:rowOff>24765</xdr:rowOff>
    </xdr:to>
    <xdr:sp macro="" textlink="" fLocksText="0">
      <xdr:nvSpPr>
        <xdr:cNvPr id="21" name="CustomShape 1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extLst>
            <a:ext uri="smNativeData">
              <pm:smNativeData xmlns="" xmlns:pm="smNativeData" val="SMDATA_11_iPrUYBMAAAAlAAAAZAAAAI0AAAAAjgAAAEcAAACOAAAARwAAAAAAAAABAAAAAAAAAAEAAABQAAAAAAAAAAAA4D8AAAAAAADgPwAAAAAAAOA/AAAAAAAA4D8AAAAAAADgPwAAAAAAAOA/AAAAAAAA4D8AAAAAAADgPwAAAAAAAOA/AAAAAAAA4D8CAAAAjAAAAAEAAAAAAAAAD0CYAAAAAAAy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AAAAAAAAAAAEAAAAAAAAAPAAAACoAAAAqAAAAZAAAAGQAAAAAAAAAy8vLADwAAAAqAAAAKgAAAGQAAABkAAAAAAAAABcAAAAUAAAAAAAAAAAAAAD/fwAA/38AAAAAAAAJAAAABAAAAECwGvIMAAAAEAAAAAAAAAAAAAAAAAAAAAAAAAAeAAAAaAAAAAAAAAAAAAAAAAAAAAAAAAAAAAAAECcAABAnAAAAAAAAAAAAAAAAAAAAAAAAAAAAAAAAAAAAAAAAAAAAAFAAAAAAAAAAwMD/AAAAAABkAAAAMgAAAAAAAABkAAAAAAAAAH9/fwAKAAAAIQAAADAAAAAsAAAAAQAAABMAAAAbAh0BBQAAABwAAACCAOsDH0kAANYBAADMJAAAVQQAAAAAAAA="/>
            </a:ext>
          </a:extLst>
        </xdr:cNvSpPr>
      </xdr:nvSpPr>
      <xdr:spPr>
        <a:xfrm>
          <a:off x="11886565" y="298450"/>
          <a:ext cx="5981700" cy="704215"/>
        </a:xfrm>
        <a:prstGeom prst="rect">
          <a:avLst/>
        </a:prstGeom>
        <a:solidFill>
          <a:srgbClr val="0F4098">
            <a:alpha val="50000"/>
          </a:srgbClr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2700000" algn="tl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ctr" upright="1"/>
        <a:lstStyle/>
        <a:p>
          <a:pPr algn="r" defTabSz="360045" rtl="0">
            <a:defRPr sz="1000"/>
          </a:pPr>
          <a:r>
            <a:rPr lang="pt-BR" sz="1000" b="0" i="0" u="none" strike="noStrike" kern="100" baseline="0">
              <a:solidFill>
                <a:srgbClr val="FFFFFF"/>
              </a:solidFill>
              <a:latin typeface="Verdana" pitchFamily="2" charset="0"/>
              <a:ea typeface="Verdana" pitchFamily="2" charset="0"/>
              <a:cs typeface="Arial" pitchFamily="2" charset="0"/>
            </a:rPr>
            <a:t>Executar licitações de forma eficiente, ética e transparente, respeitando os preceitos e normas legais, focando na busca das propostas mais vantajosas para a UFSC</a:t>
          </a:r>
        </a:p>
      </xdr:txBody>
    </xdr:sp>
    <xdr:clientData/>
  </xdr:twoCellAnchor>
  <xdr:twoCellAnchor>
    <xdr:from>
      <xdr:col>5</xdr:col>
      <xdr:colOff>0</xdr:colOff>
      <xdr:row>28</xdr:row>
      <xdr:rowOff>47625</xdr:rowOff>
    </xdr:from>
    <xdr:to>
      <xdr:col>9</xdr:col>
      <xdr:colOff>558165</xdr:colOff>
      <xdr:row>34</xdr:row>
      <xdr:rowOff>81915</xdr:rowOff>
    </xdr:to>
    <xdr:sp macro="" textlink="" fLocksText="0">
      <xdr:nvSpPr>
        <xdr:cNvPr id="20" name="CustomShape 1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extLst>
            <a:ext uri="smNativeData">
              <pm:smNativeData xmlns="" xmlns:pm="smNativeData" val="SMDATA_11_iPrUYBMAAAAlAAAAZAAAAI0AAAAAjgAAAEcAAACOAAAARwAAAAAAAAABAAAAAAAAAAEAAABQAAAAAAAAAAAA4D8AAAAAAADgPwAAAAAAAOA/AAAAAAAA4D8AAAAAAADgPwAAAAAAAOA/AAAAAAAA4D8AAAAAAADgPwAAAAAAAOA/AAAAAAAA4D8CAAAAjAAAAAEAAAAAAAAAD0CYAAAAAAAy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AAAAAAAAAAAEAAAAAAAAAPAAAACoAAAAqAAAAZAAAAGQAAAAAAAAAy8vLADwAAAAqAAAAKgAAAGQAAABkAAAAAAAAABcAAAAUAAAAAAAAAAAAAAD/fwAA/38AAAAAAAAJAAAABAAAADNIeCUMAAAAEAAAAAAAAAAAAAAAAAAAAAAAAAAeAAAAaAAAAAAAAAAAAAAAAAAAAAAAAAAAAAAAECcAABAnAAAAAAAAAAAAAAAAAAAAAAAAAAAAAAAAAAAAAAAAAAAAAFAAAAAAAAAAwMD/AAAAAABkAAAAMgAAAAAAAABkAAAAAAAAAH9/fwAKAAAAIQAAADAAAAAsAAAAHAAAAAUAAAD5AAAAIgAAAAkAAACtAZ8D9xIAAPshAACbEgAAbgcAAAAAAAA="/>
            </a:ext>
          </a:extLst>
        </xdr:cNvSpPr>
      </xdr:nvSpPr>
      <xdr:spPr>
        <a:xfrm>
          <a:off x="3082925" y="5523865"/>
          <a:ext cx="3024505" cy="1207770"/>
        </a:xfrm>
        <a:prstGeom prst="rect">
          <a:avLst/>
        </a:prstGeom>
        <a:solidFill>
          <a:srgbClr val="0F4098">
            <a:alpha val="50000"/>
          </a:srgbClr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2700000" algn="tl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ctr" upright="1"/>
        <a:lstStyle/>
        <a:p>
          <a:pPr algn="ctr" defTabSz="360045" rtl="0">
            <a:defRPr sz="1000"/>
          </a:pPr>
          <a:r>
            <a:rPr lang="pt-BR" sz="1400" b="1" i="0" u="none" strike="noStrike" kern="100" baseline="0">
              <a:solidFill>
                <a:srgbClr val="FFFFFF"/>
              </a:solidFill>
              <a:latin typeface="Verdana" pitchFamily="2" charset="0"/>
              <a:ea typeface="Verdana" pitchFamily="2" charset="0"/>
              <a:cs typeface="Arial" pitchFamily="2" charset="0"/>
            </a:rPr>
            <a:t>Agenda de licitações</a:t>
          </a:r>
        </a:p>
        <a:p>
          <a:pPr algn="ctr" defTabSz="360045" rtl="0">
            <a:defRPr sz="1000"/>
          </a:pPr>
          <a:endParaRPr/>
        </a:p>
        <a:p>
          <a:pPr algn="ctr" defTabSz="360045" rtl="0">
            <a:defRPr sz="1000"/>
          </a:pPr>
          <a:endParaRPr/>
        </a:p>
      </xdr:txBody>
    </xdr:sp>
    <xdr:clientData/>
  </xdr:twoCellAnchor>
  <xdr:twoCellAnchor>
    <xdr:from>
      <xdr:col>11</xdr:col>
      <xdr:colOff>436880</xdr:colOff>
      <xdr:row>2</xdr:row>
      <xdr:rowOff>168910</xdr:rowOff>
    </xdr:from>
    <xdr:to>
      <xdr:col>18</xdr:col>
      <xdr:colOff>310515</xdr:colOff>
      <xdr:row>11</xdr:row>
      <xdr:rowOff>113030</xdr:rowOff>
    </xdr:to>
    <xdr:sp macro="" textlink="" fLocksText="0">
      <xdr:nvSpPr>
        <xdr:cNvPr id="19" name="CustomShape 1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extLst>
            <a:ext uri="smNativeData">
              <pm:smNativeData xmlns="" xmlns:pm="smNativeData" val="SMDATA_11_iPrUYBMAAAAlAAAAZAAAAI0AAAAAjgAAAEcAAACOAAAARw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Cb0niAMAAAAEAAAAAAAAAAAAAAAAAAAAAAAAAAeAAAAaAAAAAAAAAAAAAAAAAAAAAAAAAAAAAAAECcAABAnAAAAAAAAAAAAAAAAAAAAAAAAAAAAAAAAAAAAAAAAAAAAABQAAAAAAAAAwMD/AAAAAABkAAAAMgAAAAAAAABkAAAAAAAAAH9/fwAKAAAAIQAAADAAAAAsAAAAAgAAAAsAAAB0A9YCCwAAABIAAABQAgQCaSwAAHIDAADGGQAAfAoAAAAAAAA="/>
            </a:ext>
          </a:extLst>
        </xdr:cNvSpPr>
      </xdr:nvSpPr>
      <xdr:spPr>
        <a:xfrm>
          <a:off x="7219315" y="560070"/>
          <a:ext cx="4189730" cy="170434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90170" tIns="45085" rIns="90170" bIns="45085" anchor="t" upright="1"/>
        <a:lstStyle/>
        <a:p>
          <a:pPr algn="r" defTabSz="360045" rtl="0">
            <a:defRPr sz="1000"/>
          </a:pPr>
          <a:r>
            <a:rPr lang="pt-BR" sz="10000" b="1" i="0" u="none" strike="noStrike" kern="100" spc="170" baseline="0">
              <a:solidFill>
                <a:srgbClr val="0F4098"/>
              </a:solidFill>
              <a:latin typeface="Verdana" pitchFamily="2" charset="0"/>
              <a:ea typeface="Verdana" pitchFamily="2" charset="0"/>
              <a:cs typeface="Arial" pitchFamily="2" charset="0"/>
            </a:rPr>
            <a:t>2021</a:t>
          </a:r>
        </a:p>
      </xdr:txBody>
    </xdr:sp>
    <xdr:clientData/>
  </xdr:twoCellAnchor>
  <xdr:twoCellAnchor>
    <xdr:from>
      <xdr:col>3</xdr:col>
      <xdr:colOff>423545</xdr:colOff>
      <xdr:row>6</xdr:row>
      <xdr:rowOff>20955</xdr:rowOff>
    </xdr:from>
    <xdr:to>
      <xdr:col>14</xdr:col>
      <xdr:colOff>367030</xdr:colOff>
      <xdr:row>8</xdr:row>
      <xdr:rowOff>103505</xdr:rowOff>
    </xdr:to>
    <xdr:sp macro="" textlink="" fLocksText="0">
      <xdr:nvSpPr>
        <xdr:cNvPr id="18" name="CustomShape 1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>
          <a:extLst>
            <a:ext uri="smNativeData">
              <pm:smNativeData xmlns="" xmlns:pm="smNativeData" val="SMDATA_11_iPrUYBMAAAAlAAAArgAAAI0AAAAAjgAAAEcAAACOAAAARwAAAAAAAAABAAAAAAAAAAEAAABQAAAAI2/5ENl9lj8AAAAAAADgPwAAAAAAAOA/AAAAAAAA4D8AAAAAAADgPwAAAAAAAOA/AAAAAAAA4D8AAAAAAADgPwAAAAAAAOA/AAAAAAAA4D8CAAAAjAAAAAEAAAAAAAAA/uMA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AAAAAAAAAAAEAAAAAAAAAPAAAACoAAAAqAAAAZAAAAGQAAAAAAAAAy8vLADwAAAAqAAAAKgAAAGQAAABkAAAAAAAAABcAAAAUAAAAAAAAAAAAAAD/fwAA/38AAAAAAAAJAAAABAAAALoZ+XsMAAAAEAAAAAAAAAAAAAAAAAAAAAAAAAAeAAAAaAAAAAAAAAAAAAAAAAAAAAAAAAAAAAAAECcAABAnAAAAAAAAAAAAAAAAAAAAAAAAAAAAAAAAAAAAAAAAAAAAAFAAAAAAAAAAwMD/AAAAAABkAAAAMgAAAAAAAABkAAAAAAAAAH9/fwAKAAAAIQAAADAAAAAsAAAABgAAAAMAAABuAL8CCAAAAA4AAAAeAmIC/A0AAFkHAABgKQAA6gIAAAAAAAA="/>
            </a:ext>
          </a:extLst>
        </xdr:cNvSpPr>
      </xdr:nvSpPr>
      <xdr:spPr>
        <a:xfrm>
          <a:off x="2273300" y="1194435"/>
          <a:ext cx="6725920" cy="473710"/>
        </a:xfrm>
        <a:prstGeom prst="round1Rect">
          <a:avLst>
            <a:gd name="adj" fmla="val 15593"/>
          </a:avLst>
        </a:prstGeom>
        <a:solidFill>
          <a:srgbClr val="FEE300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2700000" algn="tl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ctr" upright="1"/>
        <a:lstStyle/>
        <a:p>
          <a:pPr algn="l" defTabSz="360045" rtl="0">
            <a:defRPr sz="1000"/>
          </a:pPr>
          <a:r>
            <a:rPr lang="pt-BR" sz="1600" b="1" i="0" u="none" strike="noStrike" kern="100" baseline="0">
              <a:solidFill>
                <a:srgbClr val="0F4098"/>
              </a:solidFill>
              <a:latin typeface="Verdana" pitchFamily="2" charset="0"/>
              <a:ea typeface="Verdana" pitchFamily="2" charset="0"/>
              <a:cs typeface="Arial" pitchFamily="2" charset="0"/>
            </a:rPr>
            <a:t>QUADRO DE INDICADORES E AGENDA | 2021</a:t>
          </a:r>
        </a:p>
      </xdr:txBody>
    </xdr:sp>
    <xdr:clientData/>
  </xdr:twoCellAnchor>
  <xdr:twoCellAnchor>
    <xdr:from>
      <xdr:col>16</xdr:col>
      <xdr:colOff>600075</xdr:colOff>
      <xdr:row>21</xdr:row>
      <xdr:rowOff>94615</xdr:rowOff>
    </xdr:from>
    <xdr:to>
      <xdr:col>28</xdr:col>
      <xdr:colOff>587375</xdr:colOff>
      <xdr:row>24</xdr:row>
      <xdr:rowOff>59690</xdr:rowOff>
    </xdr:to>
    <xdr:sp macro="" textlink="" fLocksText="0">
      <xdr:nvSpPr>
        <xdr:cNvPr id="17" name="CustomShape 1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>
          <a:extLst>
            <a:ext uri="smNativeData">
              <pm:smNativeData xmlns="" xmlns:pm="smNativeData" val="SMDATA_11_iPrUYBMAAAAlAAAArwAAAI0AAAAAjgAAAEcAAACOAAAARwAAAAAAAAABAAAAAAAAAAEAAABQAAAAPCtCOWZdlz8AAAAAAAAAAAAAAAAAAOA/AAAAAAAA4D8AAAAAAADgPwAAAAAAAOA/AAAAAAAA4D8AAAAAAADgPwAAAAAAAOA/AAAAAAAA4D8CAAAAjAAAAAEAAAAAAAAA/uMAAAAAAAAZ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AAAAAAAAAAAEAAAAAAAAAPAAAACoAAAAqAAAAZAAAAGQAAAAAAAAAy8vLADwAAAAqAAAAKgAAAGQAAABkAAAAAAAAABcAAAAUAAAAAAAAAAAAAAD/fwAA/38AAAAAAAAJAAAABAAAAOk+n9MMAAAAEAAAAAAAAAAAAAAAAAAAAAAAAAAeAAAAaAAAAAAAAAAAAAAAAAAAAAAAAAAAAAAAECcAABAnAAAAAAAAAAAAAAAAAAAAAAAAAAAAAAAAAAAAAAAAAAAAAFAAAAAAAAAAwMD/AAAAAABkAAAAMgAAAAAAAABkAAAAAAAAAH9/fwAKAAAAIQAAADAAAAAsAAAAFQAAABAAAADvAeUDGAAAABwAAAA5Ac8DYUAAANkZAABwLQAAZQMAAAAAAAA="/>
            </a:ext>
          </a:extLst>
        </xdr:cNvSpPr>
      </xdr:nvSpPr>
      <xdr:spPr>
        <a:xfrm>
          <a:off x="10465435" y="4201795"/>
          <a:ext cx="7386320" cy="551815"/>
        </a:xfrm>
        <a:prstGeom prst="round2SameRect">
          <a:avLst>
            <a:gd name="adj1" fmla="val 15271"/>
            <a:gd name="adj2" fmla="val 0"/>
          </a:avLst>
        </a:prstGeom>
        <a:solidFill>
          <a:srgbClr val="FEE300">
            <a:alpha val="75000"/>
          </a:srgbClr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2700000" algn="tl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ctr" upright="1"/>
        <a:lstStyle/>
        <a:p>
          <a:pPr algn="ctr" defTabSz="360045" rtl="0">
            <a:defRPr sz="1000"/>
          </a:pPr>
          <a:r>
            <a:rPr lang="pt-BR" sz="1400" b="1" i="0" u="none" strike="noStrike" kern="100" baseline="0">
              <a:solidFill>
                <a:srgbClr val="0F4098"/>
              </a:solidFill>
              <a:latin typeface="Verdana" pitchFamily="2" charset="0"/>
              <a:ea typeface="Verdana" pitchFamily="2" charset="0"/>
              <a:cs typeface="Arial" pitchFamily="2" charset="0"/>
            </a:rPr>
            <a:t>Resumo | Processos licitatórios</a:t>
          </a:r>
        </a:p>
      </xdr:txBody>
    </xdr:sp>
    <xdr:clientData/>
  </xdr:twoCellAnchor>
  <xdr:twoCellAnchor>
    <xdr:from>
      <xdr:col>10</xdr:col>
      <xdr:colOff>66675</xdr:colOff>
      <xdr:row>28</xdr:row>
      <xdr:rowOff>47625</xdr:rowOff>
    </xdr:from>
    <xdr:to>
      <xdr:col>15</xdr:col>
      <xdr:colOff>5715</xdr:colOff>
      <xdr:row>34</xdr:row>
      <xdr:rowOff>81915</xdr:rowOff>
    </xdr:to>
    <xdr:sp macro="" textlink="" fLocksText="0">
      <xdr:nvSpPr>
        <xdr:cNvPr id="16" name="CustomShape 1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>
          <a:extLst>
            <a:ext uri="smNativeData">
              <pm:smNativeData xmlns="" xmlns:pm="smNativeData" val="SMDATA_11_iPrUYBMAAAAlAAAAZAAAAI0AAAAAjgAAAEcAAACOAAAARwAAAAAAAAABAAAAAAAAAAEAAABQAAAAAAAAAAAA4D8AAAAAAADgPwAAAAAAAOA/AAAAAAAA4D8AAAAAAADgPwAAAAAAAOA/AAAAAAAA4D8AAAAAAADgPwAAAAAAAOA/AAAAAAAA4D8CAAAAjAAAAAEAAAAAAAAAD0CYAAAAAAAy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AAAAAAAAAAAEAAAAAAAAAPAAAACoAAAAqAAAAZAAAAGQAAAAAAAAAy8vLADwAAAAqAAAAKgAAAGQAAABkAAAAAAAAABcAAAAUAAAAAAAAAAAAAAD/fwAA/38AAAAAAAAJAAAABAAAAJeQbP0MAAAAEAAAAAAAAAAAAAAAAAAAAAAAAAAeAAAAaAAAAAAAAAAAAAAAAAAAAAAAAAAAAAAAECcAABAnAAAAAAAAAAAAAAAAAAAAAAAAAAAAAAAAAAAAAAAAAAAAAFAAAAAAAAAAwMD/AAAAAABkAAAAMgAAAAAAAABkAAAAAAAAAH9/fwAKAAAAIQAAADAAAAAsAAAAHAAAAAoAAAD5AG8AIgAAAA8AAACtAQkAVyYAAPshAACXEgAAbgcAAAAAAAA="/>
            </a:ext>
          </a:extLst>
        </xdr:cNvSpPr>
      </xdr:nvSpPr>
      <xdr:spPr>
        <a:xfrm>
          <a:off x="6232525" y="5523865"/>
          <a:ext cx="3021965" cy="1207770"/>
        </a:xfrm>
        <a:prstGeom prst="rect">
          <a:avLst/>
        </a:prstGeom>
        <a:solidFill>
          <a:srgbClr val="0F4098">
            <a:alpha val="50000"/>
          </a:srgbClr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2700000" algn="tl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ctr" upright="1"/>
        <a:lstStyle/>
        <a:p>
          <a:pPr algn="ctr" defTabSz="360045" rtl="0">
            <a:defRPr sz="1000"/>
          </a:pPr>
          <a:r>
            <a:rPr lang="pt-BR" sz="1400" b="1" i="0" u="none" strike="noStrike" kern="100" baseline="0">
              <a:solidFill>
                <a:srgbClr val="FFFFFF"/>
              </a:solidFill>
              <a:latin typeface="Verdana" pitchFamily="2" charset="0"/>
              <a:ea typeface="Verdana" pitchFamily="2" charset="0"/>
              <a:cs typeface="Arial" pitchFamily="2" charset="0"/>
            </a:rPr>
            <a:t>Indicadores</a:t>
          </a:r>
        </a:p>
        <a:p>
          <a:pPr algn="ctr" defTabSz="360045" rtl="0">
            <a:defRPr sz="1000"/>
          </a:pPr>
          <a:endParaRPr/>
        </a:p>
        <a:p>
          <a:pPr algn="ctr" defTabSz="360045" rtl="0">
            <a:defRPr sz="1000"/>
          </a:pPr>
          <a:endParaRPr/>
        </a:p>
      </xdr:txBody>
    </xdr:sp>
    <xdr:clientData/>
  </xdr:twoCellAnchor>
  <xdr:twoCellAnchor>
    <xdr:from>
      <xdr:col>3</xdr:col>
      <xdr:colOff>609600</xdr:colOff>
      <xdr:row>38</xdr:row>
      <xdr:rowOff>127000</xdr:rowOff>
    </xdr:from>
    <xdr:to>
      <xdr:col>30</xdr:col>
      <xdr:colOff>5715</xdr:colOff>
      <xdr:row>38</xdr:row>
      <xdr:rowOff>177800</xdr:rowOff>
    </xdr:to>
    <xdr:sp macro="" textlink="" fLocksText="0">
      <xdr:nvSpPr>
        <xdr:cNvPr id="15" name="CustomShape 1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>
          <a:extLst>
            <a:ext uri="smNativeData">
              <pm:smNativeData xmlns="" xmlns:pm="smNativeData" val="SMDATA_11_iPrUYBMAAAAlAAAAZAAAAI0AAAAAkAAAAEgAAACQAAAASAAAAAAAAAAAAAAAAAAAAAEAAABQAAAAAAAAAAAA4D8AAAAAAADgPwAAAAAAAOA/AAAAAAAA4D8AAAAAAADgPwAAAAAAAOA/AAAAAAAA4D8AAAAAAADgPwAAAAAAAOA/AAAAAAAA4D8CAAAAjAAAAAEAAAAAAAAAD0CY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BAAAAAAAAAAEAAAAAAAAAPAAAAAAAAAA8AAAAZAAAAGQAAAAAAAAAy8vLADwAAAAAAAAAPAAAAGQAAABkAAAAAAAAABcAAAAUAAAAAAAAAAAAAAD/fwAA/38AAAAAAAAJAAAABAAAAHId7SgMAAAAEAAAAAAAAAAAAAAAAAAAAAAAAAAeAAAAaAAAAAAAAAAAAAAAAAAAAAAAAAAAAAAAECcAABAnAAAAAAAAAAAAAAAAAAAAAAAAAAAAAAAAAAAAAAAAAAAAAFAAAAAAAAAAwMD/AAAAAABkAAAAMgAAAAAAAABkAAAAAAAAAH9/fwAKAAAAIQAAADAAAAAsAAAAJgAAAAMAAACZAvQDJgAAAB4AAACjAwkAIQ8AAIAuAACyYgAAUAAAAAAAAAA="/>
            </a:ext>
          </a:extLst>
        </xdr:cNvSpPr>
      </xdr:nvSpPr>
      <xdr:spPr>
        <a:xfrm flipV="1">
          <a:off x="2459355" y="7559040"/>
          <a:ext cx="16043910" cy="50800"/>
        </a:xfrm>
        <a:prstGeom prst="rect">
          <a:avLst/>
        </a:prstGeom>
        <a:solidFill>
          <a:srgbClr val="0F4098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8100" dir="5400000" algn="t">
            <a:srgbClr val="000000">
              <a:alpha val="40000"/>
            </a:srgbClr>
          </a:outerShdw>
        </a:effectLst>
      </xdr:spPr>
    </xdr:sp>
    <xdr:clientData/>
  </xdr:twoCellAnchor>
  <xdr:twoCellAnchor editAs="oneCell">
    <xdr:from>
      <xdr:col>7</xdr:col>
      <xdr:colOff>152400</xdr:colOff>
      <xdr:row>31</xdr:row>
      <xdr:rowOff>47625</xdr:rowOff>
    </xdr:from>
    <xdr:to>
      <xdr:col>7</xdr:col>
      <xdr:colOff>579755</xdr:colOff>
      <xdr:row>33</xdr:row>
      <xdr:rowOff>112395</xdr:rowOff>
    </xdr:to>
    <xdr:pic>
      <xdr:nvPicPr>
        <xdr:cNvPr id="14" name="Imagem 2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extLst>
            <a:ext uri="smNativeData">
              <pm:smNativeData xmlns="" xmlns:pm="smNativeData" val="SMDATA_13_iPrUYBMAAAAlAAAAEQ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EYAAAAeAAAAZAAAAAAAAAAjAAAABAAAAGQAAAAXAAAAFAAAAAAAAAAAAAAA/38AAP9/AAAAAAAACQAAAAQAAAB/RthPDAAAABAAAAAAAAAAAAAAAAAAAAAAAAAAHgAAAGgAAAAAAAAAAAAAAAAAAAAAAAAAAAAAABAnAAAQJwAAAAAAAAAAAAAAAAAAAAAAAAAAAAAAAAAAAAAAAAAAAAAUAAAAAAAAAMDA/wAAAAAAZAAAADIAAAAAAAAAZAAAAAAAAAB/f38ACgAAACEAAAAwAAAALAAAAB8AAAAHAAAA+QD9ACEAAAAHAAAATALDA30bAACXJQAAoQIAAM4CAAABAAAA"/>
            </a:ext>
          </a:extLst>
        </xdr:cNvPicPr>
      </xdr:nvPicPr>
      <xdr:blipFill>
        <a:blip xmlns:r="http://schemas.openxmlformats.org/officeDocument/2006/relationships" r:embed="rId6">
          <a:lum bright="70000" contrast="-70000"/>
        </a:blip>
        <a:stretch>
          <a:fillRect/>
        </a:stretch>
      </xdr:blipFill>
      <xdr:spPr>
        <a:xfrm>
          <a:off x="4468495" y="6110605"/>
          <a:ext cx="427355" cy="45593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oneCell">
    <xdr:from>
      <xdr:col>12</xdr:col>
      <xdr:colOff>171450</xdr:colOff>
      <xdr:row>31</xdr:row>
      <xdr:rowOff>76200</xdr:rowOff>
    </xdr:from>
    <xdr:to>
      <xdr:col>13</xdr:col>
      <xdr:colOff>7620</xdr:colOff>
      <xdr:row>33</xdr:row>
      <xdr:rowOff>55880</xdr:rowOff>
    </xdr:to>
    <xdr:pic>
      <xdr:nvPicPr>
        <xdr:cNvPr id="13" name="Imagem 24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extLst>
            <a:ext uri="smNativeData">
              <pm:smNativeData xmlns="" xmlns:pm="smNativeData" val="SMDATA_13_iPrUYBMAAAAlAAAAEQ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KQcAABwJAADyBgAAxAkAAAAAAABkAAAAZAAAAAAAAAAjAAAABAAAAGQAAAAXAAAAFAAAAAAAAAAAAAAA/38AAP9/AAAAAAAACQAAAAQAAAAAAAAADAAAABAAAAAAAAAAAAAAAAAAAAAAAAAAHgAAAGgAAAAAAAAAAAAAAAAAAAAAAAAAAAAAABAnAAAQJwAAAAAAAAAAAAAAAAAAAAAAAAAAAAAAAAAAAAAAAAAAAAAUAAAAAAAAAMDA/wAAAAAAZAAAADIAAAAAAAAAZAAAAAAAAAB/f38ACgAAACEAAAAwAAAALAAAAB8AAAAMAAAAjwEdASEAAAANAAAAJQENAJIuAADEJQAAyQIAAEgCAAABAAAA"/>
            </a:ext>
          </a:extLst>
        </xdr:cNvPicPr>
      </xdr:nvPicPr>
      <xdr:blipFill>
        <a:blip xmlns:r="http://schemas.openxmlformats.org/officeDocument/2006/relationships" r:embed="rId7"/>
        <a:srcRect l="18330" t="23320" r="17780" b="25000"/>
        <a:stretch>
          <a:fillRect/>
        </a:stretch>
      </xdr:blipFill>
      <xdr:spPr>
        <a:xfrm>
          <a:off x="7570470" y="6139180"/>
          <a:ext cx="452755" cy="37084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>
    <xdr:from>
      <xdr:col>25</xdr:col>
      <xdr:colOff>295275</xdr:colOff>
      <xdr:row>11</xdr:row>
      <xdr:rowOff>9525</xdr:rowOff>
    </xdr:from>
    <xdr:to>
      <xdr:col>28</xdr:col>
      <xdr:colOff>384175</xdr:colOff>
      <xdr:row>12</xdr:row>
      <xdr:rowOff>158115</xdr:rowOff>
    </xdr:to>
    <xdr:sp macro="" textlink="" fLocksText="0">
      <xdr:nvSpPr>
        <xdr:cNvPr id="12" name="CustomShape 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CAAAAAAAAAAEAAABQAAAAc83iCEgbrT8AAAAAAAAAAAAAAAAAAOA/AAAAAAAA4D8AAAAAAADgPwAAAAAAAOA/AAAAAAAA4D8AAAAAAADgPwAAAAAAAOA/AAAAAAAA4D8CAAAAjAAAAAEAAAAAAAAA8vLy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JSXp7wMAAAAEAAAAAAAAAAAAAAAAAAAAAAAAAAeAAAAaAAAAAAAAAAAAAAAAAAAAAAAAAAAAAAAECcAABAnAAAAAAAAAAAAAAAAAAAAAAAAAAAAAAAAAAAAAAAAAAAAAFAAAAAAAAAAwMD/AAAAAABkAAAAMgAAAAAAAABkAAAAAAAAAH9/fwAKAAAAIQAAADAAAAAsAAAACwAAABkAAAAyAOoBDAAAABwAAAA8A34CpGAAAEsNAADtCwAAHgIAAAAAAAA="/>
            </a:ext>
          </a:extLst>
        </xdr:cNvSpPr>
      </xdr:nvSpPr>
      <xdr:spPr>
        <a:xfrm>
          <a:off x="15709900" y="2160905"/>
          <a:ext cx="1938655" cy="344170"/>
        </a:xfrm>
        <a:prstGeom prst="round2DiagRect">
          <a:avLst>
            <a:gd name="adj1" fmla="val 16011"/>
            <a:gd name="adj2" fmla="val 0"/>
          </a:avLst>
        </a:prstGeom>
        <a:solidFill>
          <a:srgbClr val="F2F2F2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b" upright="1"/>
        <a:lstStyle/>
        <a:p>
          <a:pPr algn="r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V</a:t>
          </a:r>
          <a:r>
            <a:rPr lang="pt-BR" sz="8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alores</a:t>
          </a:r>
        </a:p>
      </xdr:txBody>
    </xdr:sp>
    <xdr:clientData/>
  </xdr:twoCellAnchor>
  <xdr:twoCellAnchor>
    <xdr:from>
      <xdr:col>19</xdr:col>
      <xdr:colOff>171450</xdr:colOff>
      <xdr:row>7</xdr:row>
      <xdr:rowOff>168910</xdr:rowOff>
    </xdr:from>
    <xdr:to>
      <xdr:col>28</xdr:col>
      <xdr:colOff>603885</xdr:colOff>
      <xdr:row>11</xdr:row>
      <xdr:rowOff>91440</xdr:rowOff>
    </xdr:to>
    <xdr:sp macro="" textlink="" fLocksText="0">
      <xdr:nvSpPr>
        <xdr:cNvPr id="11" name="CustomShape 1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extLst>
            <a:ext uri="smNativeData">
              <pm:smNativeData xmlns="" xmlns:pm="smNativeData" val="SMDATA_11_iPrUYBMAAAAlAAAAZAAAAI0AAAAAjgAAAEcAAACOAAAARwAAAAAAAAABAAAAAAAAAAEAAABQAAAAAAAAAAAA4D8AAAAAAADgPwAAAAAAAOA/AAAAAAAA4D8AAAAAAADgPwAAAAAAAOA/AAAAAAAA4D8AAAAAAADgPwAAAAAAAOA/AAAAAAAA4D8CAAAAjAAAAAEAAAAAAAAAD0CYAAAAAAAy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AAAAAAAAAAAEAAAAAAAAAPAAAACoAAAAqAAAAZAAAAGQAAAAAAAAAy8vLADwAAAAqAAAAKgAAAGQAAABkAAAAAAAAABcAAAAUAAAAAAAAAAAAAAD/fwAA/38AAAAAAAAJAAAABAAAAPr0694MAAAAEAAAAAAAAAAAAAAAAAAAAAAAAAAeAAAAaAAAAAAAAAAAAAAAAAAAAAAAAAAAAAAAECcAABAnAAAAAAAAAAAAAAAAAAAAAAAAAAAAAAAAAAAAAAAAAAAAAFAAAAAAAAAAwMD/AAAAAABkAAAAMgAAAAAAAABkAAAAAAAAAH9/fwAKAAAAIQAAADAAAAAsAAAABwAAABMAAAB0Ax0BCwAAABwAAADfAesDH0kAAHYJAADMJAAAVgQAAAAAAAA="/>
            </a:ext>
          </a:extLst>
        </xdr:cNvSpPr>
      </xdr:nvSpPr>
      <xdr:spPr>
        <a:xfrm>
          <a:off x="11886565" y="1537970"/>
          <a:ext cx="5981700" cy="704850"/>
        </a:xfrm>
        <a:prstGeom prst="rect">
          <a:avLst/>
        </a:prstGeom>
        <a:solidFill>
          <a:srgbClr val="0F4098">
            <a:alpha val="50000"/>
          </a:srgbClr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2700000" algn="tl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ctr" upright="1"/>
        <a:lstStyle/>
        <a:p>
          <a:pPr algn="r" defTabSz="360045" rtl="0">
            <a:defRPr sz="1000"/>
          </a:pPr>
          <a:r>
            <a:rPr lang="pt-BR" sz="1000" b="0" i="0" u="none" strike="noStrike" kern="100" baseline="0">
              <a:solidFill>
                <a:srgbClr val="FFFFFF"/>
              </a:solidFill>
              <a:latin typeface="Verdana" pitchFamily="2" charset="0"/>
              <a:ea typeface="Verdana" pitchFamily="2" charset="0"/>
              <a:cs typeface="Arial" pitchFamily="2" charset="0"/>
            </a:rPr>
            <a:t>Ética, eficiência, honestidade, legalidade, transparência e trabalho coletivo.</a:t>
          </a:r>
        </a:p>
      </xdr:txBody>
    </xdr:sp>
    <xdr:clientData/>
  </xdr:twoCellAnchor>
  <xdr:twoCellAnchor>
    <xdr:from>
      <xdr:col>17</xdr:col>
      <xdr:colOff>9525</xdr:colOff>
      <xdr:row>24</xdr:row>
      <xdr:rowOff>168910</xdr:rowOff>
    </xdr:from>
    <xdr:to>
      <xdr:col>20</xdr:col>
      <xdr:colOff>234315</xdr:colOff>
      <xdr:row>26</xdr:row>
      <xdr:rowOff>54610</xdr:rowOff>
    </xdr:to>
    <xdr:sp macro="" textlink="" fLocksText="0">
      <xdr:nvSpPr>
        <xdr:cNvPr id="10" name="CustomShape 1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extLst>
            <a:ext uri="smNativeData">
              <pm:smNativeData xmlns="" xmlns:pm="smNativeData" val="SMDATA_11_iPrUYBMAAAAlAAAAZAAAAI0AAAAAjgAAAEcAAACOAAAARwAAAAAAAAABAAAAAAAAAAEAAABQAAAAAAAAAAAA4D8AAAAAAADgPwAAAAAAAOA/AAAAAAAA4D8AAAAAAADgPwAAAAAAAOA/AAAAAAAA4D8AAAAAAADgPwAAAAAAAOA/AAAAAAAA4D8CAAAAjAAAAAEAAAAAAAAAD0CYAAAAAAAy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AAAAAAAAAAAEAAAAAAAAAPAAAACoAAAAqAAAAZAAAAGQAAAAAAAAAy8vLADwAAAAqAAAAKgAAAGQAAABkAAAAAAAAABcAAAAUAAAAAAAAAAAAAAD/fwAA/38AAAAAAAAJAAAABAAAAOcvjlgMAAAAEAAAAAAAAAAAAAAAAAAAAAAAAAAeAAAAaAAAAAAAAAAAAAAAAAAAAAAAAAAAAAAAECcAABAnAAAAAAAAAAAAAAAAAAAAAAAAAAAAAAAAAAAAAAAAAAAAAFAAAAAAAAAAwMD/AAAAAABkAAAAMgAAAAAAAABkAAAAAAAAAH9/fwAKAAAAIQAAADAAAAAsAAAAGAAAABEAAAB0AxAAGgAAABQAAAAeAYUBikAAAOodAADDDAAAtAEAAAAAAAA="/>
            </a:ext>
          </a:extLst>
        </xdr:cNvSpPr>
      </xdr:nvSpPr>
      <xdr:spPr>
        <a:xfrm>
          <a:off x="10491470" y="4862830"/>
          <a:ext cx="2074545" cy="276860"/>
        </a:xfrm>
        <a:prstGeom prst="rect">
          <a:avLst/>
        </a:prstGeom>
        <a:solidFill>
          <a:srgbClr val="0F4098">
            <a:alpha val="50000"/>
          </a:srgbClr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2700000" algn="tl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ctr" upright="1"/>
        <a:lstStyle/>
        <a:p>
          <a:pPr algn="ctr" defTabSz="360045" rtl="0">
            <a:defRPr sz="1000"/>
          </a:pPr>
          <a:r>
            <a:rPr lang="pt-BR" sz="900" b="1" i="0" u="none" strike="noStrike" kern="100" baseline="0">
              <a:solidFill>
                <a:srgbClr val="FFFFFF"/>
              </a:solidFill>
              <a:latin typeface="Verdana" pitchFamily="2" charset="0"/>
              <a:ea typeface="Verdana" pitchFamily="2" charset="0"/>
              <a:cs typeface="Arial" pitchFamily="2" charset="0"/>
            </a:rPr>
            <a:t>Categoria</a:t>
          </a:r>
        </a:p>
      </xdr:txBody>
    </xdr:sp>
    <xdr:clientData/>
  </xdr:twoCellAnchor>
  <xdr:twoCellAnchor>
    <xdr:from>
      <xdr:col>21</xdr:col>
      <xdr:colOff>28575</xdr:colOff>
      <xdr:row>24</xdr:row>
      <xdr:rowOff>168910</xdr:rowOff>
    </xdr:from>
    <xdr:to>
      <xdr:col>22</xdr:col>
      <xdr:colOff>585470</xdr:colOff>
      <xdr:row>26</xdr:row>
      <xdr:rowOff>54610</xdr:rowOff>
    </xdr:to>
    <xdr:sp macro="" textlink="" fLocksText="0">
      <xdr:nvSpPr>
        <xdr:cNvPr id="9" name="CustomShape 1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extLst>
            <a:ext uri="smNativeData">
              <pm:smNativeData xmlns="" xmlns:pm="smNativeData" val="SMDATA_11_iPrUYBMAAAAlAAAAZAAAAI0AAAAAjgAAAEcAAACOAAAARwAAAAAAAAABAAAAAAAAAAEAAABQAAAAAAAAAAAA4D8AAAAAAADgPwAAAAAAAOA/AAAAAAAA4D8AAAAAAADgPwAAAAAAAOA/AAAAAAAA4D8AAAAAAADgPwAAAAAAAOA/AAAAAAAA4D8CAAAAjAAAAAEAAAAAAAAAD0CYAAAAAAAy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AAAAAAAAAAAEAAAAAAAAAPAAAACoAAAAqAAAAZAAAAGQAAAAAAAAAy8vLADwAAAAqAAAAKgAAAGQAAABkAAAAAAAAABcAAAAUAAAAAAAAAAAAAAD/fwAA/38AAAAAAAAJAAAABAAAAH+qa6YMAAAAEAAAAAAAAAAAAAAAAAAAAAAAAAAeAAAAaAAAAAAAAAAAAAAAAAAAAAAAAAAAAAAAECcAABAnAAAAAAAAAAAAAAAAAAAAAAAAAAAAAAAAAAAAAAAAAAAAAFAAAAAAAAAAwMD/AAAAAABkAAAAMgAAAAAAAABkAAAAAAAAAH9/fwAKAAAAIQAAADAAAAAsAAAAGAAAABUAAAB0Ay8AGgAAABYAAAAeAcwD1E8AAOodAAA4BwAAtAEAAAAAAAA="/>
            </a:ext>
          </a:extLst>
        </xdr:cNvSpPr>
      </xdr:nvSpPr>
      <xdr:spPr>
        <a:xfrm>
          <a:off x="12976860" y="4862830"/>
          <a:ext cx="1173480" cy="276860"/>
        </a:xfrm>
        <a:prstGeom prst="rect">
          <a:avLst/>
        </a:prstGeom>
        <a:solidFill>
          <a:srgbClr val="0F4098">
            <a:alpha val="50000"/>
          </a:srgbClr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2700000" algn="tl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ctr" upright="1"/>
        <a:lstStyle/>
        <a:p>
          <a:pPr algn="ctr" defTabSz="360045" rtl="0">
            <a:defRPr sz="1000"/>
          </a:pPr>
          <a:r>
            <a:rPr lang="pt-BR" sz="900" b="1" i="0" u="none" strike="noStrike" kern="100" baseline="0">
              <a:solidFill>
                <a:srgbClr val="FFFFFF"/>
              </a:solidFill>
              <a:latin typeface="Verdana" pitchFamily="2" charset="0"/>
              <a:ea typeface="Verdana" pitchFamily="2" charset="0"/>
              <a:cs typeface="Arial" pitchFamily="2" charset="0"/>
            </a:rPr>
            <a:t>Recebidos</a:t>
          </a:r>
        </a:p>
      </xdr:txBody>
    </xdr:sp>
    <xdr:clientData/>
  </xdr:twoCellAnchor>
  <xdr:twoCellAnchor>
    <xdr:from>
      <xdr:col>24</xdr:col>
      <xdr:colOff>28575</xdr:colOff>
      <xdr:row>24</xdr:row>
      <xdr:rowOff>168910</xdr:rowOff>
    </xdr:from>
    <xdr:to>
      <xdr:col>25</xdr:col>
      <xdr:colOff>585470</xdr:colOff>
      <xdr:row>26</xdr:row>
      <xdr:rowOff>54610</xdr:rowOff>
    </xdr:to>
    <xdr:sp macro="" textlink="" fLocksText="0">
      <xdr:nvSpPr>
        <xdr:cNvPr id="8" name="CustomShape 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extLst>
            <a:ext uri="smNativeData">
              <pm:smNativeData xmlns="" xmlns:pm="smNativeData" val="SMDATA_11_iPrUYBMAAAAlAAAAZAAAAI0AAAAAjgAAAEcAAACOAAAARwAAAAAAAAABAAAAAAAAAAEAAABQAAAAAAAAAAAA4D8AAAAAAADgPwAAAAAAAOA/AAAAAAAA4D8AAAAAAADgPwAAAAAAAOA/AAAAAAAA4D8AAAAAAADgPwAAAAAAAOA/AAAAAAAA4D8CAAAAjAAAAAEAAAAAAAAAD0CYAAAAAAAy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AAAAAAAAAAAEAAAAAAAAAPAAAACoAAAAqAAAAZAAAAGQAAAAAAAAAy8vLADwAAAAqAAAAKgAAAGQAAABkAAAAAAAAABcAAAAUAAAAAAAAAAAAAAD/fwAA/38AAAAAAAAJAAAABAAAAFgKgN4MAAAAEAAAAAAAAAAAAAAAAAAAAAAAAAAeAAAAaAAAAAAAAAAAAAAAAAAAAAAAAAAAAAAAECcAABAnAAAAAAAAAAAAAAAAAAAAAAAAAAAAAAAAAAAAAAAAAAAAAFAAAAAAAAAAwMD/AAAAAABkAAAAMgAAAAAAAABkAAAAAAAAAH9/fwAKAAAAIQAAADAAAAAsAAAAGAAAABgAAAB0Ay8AGgAAABkAAAAeAcwDNVsAAOodAAA4BwAAtAEAAAAAAAA="/>
            </a:ext>
          </a:extLst>
        </xdr:cNvSpPr>
      </xdr:nvSpPr>
      <xdr:spPr>
        <a:xfrm>
          <a:off x="14826615" y="4862830"/>
          <a:ext cx="1173480" cy="276860"/>
        </a:xfrm>
        <a:prstGeom prst="rect">
          <a:avLst/>
        </a:prstGeom>
        <a:solidFill>
          <a:srgbClr val="0F4098">
            <a:alpha val="50000"/>
          </a:srgbClr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2700000" algn="tl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ctr" upright="1"/>
        <a:lstStyle/>
        <a:p>
          <a:pPr algn="ctr" defTabSz="360045" rtl="0">
            <a:defRPr sz="1000"/>
          </a:pPr>
          <a:r>
            <a:rPr lang="pt-BR" sz="900" b="1" i="0" u="none" strike="noStrike" kern="100" baseline="0">
              <a:solidFill>
                <a:srgbClr val="FFFFFF"/>
              </a:solidFill>
              <a:latin typeface="Verdana" pitchFamily="2" charset="0"/>
              <a:ea typeface="Verdana" pitchFamily="2" charset="0"/>
              <a:cs typeface="Arial" pitchFamily="2" charset="0"/>
            </a:rPr>
            <a:t>Finalizados</a:t>
          </a:r>
        </a:p>
      </xdr:txBody>
    </xdr:sp>
    <xdr:clientData/>
  </xdr:twoCellAnchor>
  <xdr:twoCellAnchor>
    <xdr:from>
      <xdr:col>27</xdr:col>
      <xdr:colOff>19050</xdr:colOff>
      <xdr:row>24</xdr:row>
      <xdr:rowOff>168910</xdr:rowOff>
    </xdr:from>
    <xdr:to>
      <xdr:col>28</xdr:col>
      <xdr:colOff>575945</xdr:colOff>
      <xdr:row>26</xdr:row>
      <xdr:rowOff>54610</xdr:rowOff>
    </xdr:to>
    <xdr:sp macro="" textlink="" fLocksText="0">
      <xdr:nvSpPr>
        <xdr:cNvPr id="7" name="CustomShape 1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extLst>
            <a:ext uri="smNativeData">
              <pm:smNativeData xmlns="" xmlns:pm="smNativeData" val="SMDATA_11_iPrUYBMAAAAlAAAAZAAAAI0AAAAAjgAAAEcAAACOAAAARwAAAAAAAAABAAAAAAAAAAEAAABQAAAAAAAAAAAA4D8AAAAAAADgPwAAAAAAAOA/AAAAAAAA4D8AAAAAAADgPwAAAAAAAOA/AAAAAAAA4D8AAAAAAADgPwAAAAAAAOA/AAAAAAAA4D8CAAAAjAAAAAEAAAAAAAAAD0CYAAAAAAAy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AAAAAAAAAAAEAAAAAAAAAPAAAACoAAAAqAAAAZAAAAGQAAAAAAAAAy8vLADwAAAAqAAAAKgAAAGQAAABkAAAAAAAAABcAAAAUAAAAAAAAAAAAAAD/fwAA/38AAAAAAAAJAAAABAAAANqUcgwMAAAAEAAAAAAAAAAAAAAAAAAAAAAAAAAeAAAAaAAAAAAAAAAAAAAAAAAAAAAAAAAAAAAAECcAABAnAAAAAAAAAAAAAAAAAAAAAAAAAAAAAAAAAAAAAAAAAAAAAFAAAAAAAAAAwMD/AAAAAABkAAAAMgAAAAAAAABkAAAAAAAAAH9/fwAKAAAAIQAAADAAAAAsAAAAGAAAABsAAAB0AyAAGgAAABwAAAAeAb0Dh2YAAOodAAA4BwAAtAEAAAAAAAA="/>
            </a:ext>
          </a:extLst>
        </xdr:cNvSpPr>
      </xdr:nvSpPr>
      <xdr:spPr>
        <a:xfrm>
          <a:off x="16666845" y="4862830"/>
          <a:ext cx="1173480" cy="276860"/>
        </a:xfrm>
        <a:prstGeom prst="rect">
          <a:avLst/>
        </a:prstGeom>
        <a:solidFill>
          <a:srgbClr val="0F4098">
            <a:alpha val="50000"/>
          </a:srgbClr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2700000" algn="tl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ctr" upright="1"/>
        <a:lstStyle/>
        <a:p>
          <a:pPr algn="ctr" defTabSz="360045" rtl="0">
            <a:defRPr sz="1000"/>
          </a:pPr>
          <a:r>
            <a:rPr lang="pt-BR" sz="900" b="1" i="0" u="none" strike="noStrike" kern="100" baseline="0">
              <a:solidFill>
                <a:srgbClr val="FFFFFF"/>
              </a:solidFill>
              <a:latin typeface="Verdana" pitchFamily="2" charset="0"/>
              <a:ea typeface="Verdana" pitchFamily="2" charset="0"/>
              <a:cs typeface="Arial" pitchFamily="2" charset="0"/>
            </a:rPr>
            <a:t>Em andamento</a:t>
          </a:r>
        </a:p>
      </xdr:txBody>
    </xdr:sp>
    <xdr:clientData/>
  </xdr:twoCellAnchor>
  <xdr:twoCellAnchor>
    <xdr:from>
      <xdr:col>17</xdr:col>
      <xdr:colOff>381000</xdr:colOff>
      <xdr:row>28</xdr:row>
      <xdr:rowOff>161925</xdr:rowOff>
    </xdr:from>
    <xdr:to>
      <xdr:col>20</xdr:col>
      <xdr:colOff>234950</xdr:colOff>
      <xdr:row>30</xdr:row>
      <xdr:rowOff>40640</xdr:rowOff>
    </xdr:to>
    <xdr:sp macro="" textlink="" fLocksText="0">
      <xdr:nvSpPr>
        <xdr:cNvPr id="6" name="CustomShape 1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AAAAAAAAAAAEAAABQAAAAY0YC9Q/bpz8AAAAAAAAAAAAAAAAAAOA/AAAAAAAA4D8AAAAAAADgPwAAAAAAAOA/AAAAAAAA4D8AAAAAAADgPwAAAAAAAOA/AAAAAAAA4D8CAAAAjAAAAAEAAAAAAAAA8vLy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PB+IJMMAAAAEAAAAAAAAAAAAAAAAAAAAAAAAAAeAAAAaAAAAAAAAAAAAAAAAAAAAAAAAAAAAAAAECcAABAnAAAAAAAAAAAAAAAAAAAAAAAAAAAAAAAAAAAAAAAAAAAAAFAAAAAAAAAAwMD/AAAAAABkAAAAMgAAAAAAAABkAAAAAAAAAH9/fwAKAAAAIQAAADAAAAAsAAAAHAAAABEAAABQA3kCHgAAABQAAADVAIYB00IAAK8iAAB7CgAAqQEAAAAAAAA="/>
            </a:ext>
          </a:extLst>
        </xdr:cNvSpPr>
      </xdr:nvSpPr>
      <xdr:spPr>
        <a:xfrm>
          <a:off x="10862945" y="5638165"/>
          <a:ext cx="1703705" cy="269875"/>
        </a:xfrm>
        <a:prstGeom prst="round2DiagRect">
          <a:avLst>
            <a:gd name="adj1" fmla="val 14707"/>
            <a:gd name="adj2" fmla="val 0"/>
          </a:avLst>
        </a:prstGeom>
        <a:solidFill>
          <a:srgbClr val="F2F2F2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t" upright="1"/>
        <a:lstStyle/>
        <a:p>
          <a:pPr algn="r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C</a:t>
          </a:r>
          <a:r>
            <a:rPr lang="pt-BR" sz="8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oncessão</a:t>
          </a:r>
        </a:p>
      </xdr:txBody>
    </xdr:sp>
    <xdr:clientData/>
  </xdr:twoCellAnchor>
  <xdr:twoCellAnchor>
    <xdr:from>
      <xdr:col>17</xdr:col>
      <xdr:colOff>381000</xdr:colOff>
      <xdr:row>30</xdr:row>
      <xdr:rowOff>161925</xdr:rowOff>
    </xdr:from>
    <xdr:to>
      <xdr:col>20</xdr:col>
      <xdr:colOff>234315</xdr:colOff>
      <xdr:row>32</xdr:row>
      <xdr:rowOff>41275</xdr:rowOff>
    </xdr:to>
    <xdr:sp macro="" textlink="" fLocksText="0">
      <xdr:nvSpPr>
        <xdr:cNvPr id="5" name="CustomShape 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AAAAAAAAAAAEAAABQAAAA7tcXRaDppz8AAAAAAAAAAAAAAAAAAOA/AAAAAAAA4D8AAAAAAADgPwAAAAAAAOA/AAAAAAAA4D8AAAAAAADgPwAAAAAAAOA/AAAAAAAA4D8CAAAAjAAAAAEAAAAAAAAA8vLy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IrIXGQMAAAAEAAAAAAAAAAAAAAAAAAAAAAAAAAeAAAAaAAAAAAAAAAAAAAAAAAAAAAAAAAAAAAAECcAABAnAAAAAAAAAAAAAAAAAAAAAAAAAAAAAAAAAAAAAAAAAAAAAFAAAAAAAAAAwMD/AAAAAABkAAAAMgAAAAAAAABkAAAAAAAAAH9/fwAKAAAAIQAAADAAAAAsAAAAHgAAABEAAABQA3kCIAAAABQAAADYAIUB00IAABclAAB6CgAAqgEAAAAAAAA="/>
            </a:ext>
          </a:extLst>
        </xdr:cNvSpPr>
      </xdr:nvSpPr>
      <xdr:spPr>
        <a:xfrm>
          <a:off x="10862945" y="6029325"/>
          <a:ext cx="1703070" cy="270510"/>
        </a:xfrm>
        <a:prstGeom prst="round2DiagRect">
          <a:avLst>
            <a:gd name="adj1" fmla="val 14702"/>
            <a:gd name="adj2" fmla="val 0"/>
          </a:avLst>
        </a:prstGeom>
        <a:solidFill>
          <a:srgbClr val="F2F2F2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t" upright="1"/>
        <a:lstStyle/>
        <a:p>
          <a:pPr algn="r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C</a:t>
          </a:r>
          <a:r>
            <a:rPr lang="pt-BR" sz="8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onsumo</a:t>
          </a:r>
        </a:p>
      </xdr:txBody>
    </xdr:sp>
    <xdr:clientData/>
  </xdr:twoCellAnchor>
  <xdr:twoCellAnchor>
    <xdr:from>
      <xdr:col>17</xdr:col>
      <xdr:colOff>381000</xdr:colOff>
      <xdr:row>32</xdr:row>
      <xdr:rowOff>161925</xdr:rowOff>
    </xdr:from>
    <xdr:to>
      <xdr:col>20</xdr:col>
      <xdr:colOff>234950</xdr:colOff>
      <xdr:row>34</xdr:row>
      <xdr:rowOff>40640</xdr:rowOff>
    </xdr:to>
    <xdr:sp macro="" textlink="" fLocksText="0">
      <xdr:nvSpPr>
        <xdr:cNvPr id="4" name="CustomShape 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AAAAAAAAAAAEAAABQAAAAW5+FlFfSpz8AAAAAAAAAAAAAAAAAAOA/AAAAAAAA4D8AAAAAAADgPwAAAAAAAOA/AAAAAAAA4D8AAAAAAADgPwAAAAAAAOA/AAAAAAAA4D8CAAAAjAAAAAEAAAAAAAAA8vLy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HBH2CcMAAAAEAAAAAAAAAAAAAAAAAAAAAAAAAAeAAAAaAAAAAAAAAAAAAAAAAAAAAAAAAAAAAAAECcAABAnAAAAAAAAAAAAAAAAAAAAAAAAAAAAAAAAAAAAAAAAAAAAAFAAAAAAAAAAwMD/AAAAAABkAAAAMgAAAAAAAABkAAAAAAAAAH9/fwAKAAAAIQAAADAAAAAsAAAAIAAAABEAAABQA3kCIgAAABQAAADVAIYB00IAAH8nAAB7CgAAqQEAAAAAAAA="/>
            </a:ext>
          </a:extLst>
        </xdr:cNvSpPr>
      </xdr:nvSpPr>
      <xdr:spPr>
        <a:xfrm>
          <a:off x="10862945" y="6420485"/>
          <a:ext cx="1703705" cy="269875"/>
        </a:xfrm>
        <a:prstGeom prst="round2DiagRect">
          <a:avLst>
            <a:gd name="adj1" fmla="val 14686"/>
            <a:gd name="adj2" fmla="val 0"/>
          </a:avLst>
        </a:prstGeom>
        <a:solidFill>
          <a:srgbClr val="F2F2F2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t" upright="1"/>
        <a:lstStyle/>
        <a:p>
          <a:pPr algn="r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O</a:t>
          </a:r>
          <a:r>
            <a:rPr lang="pt-BR" sz="8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bra / projeto</a:t>
          </a:r>
        </a:p>
      </xdr:txBody>
    </xdr:sp>
    <xdr:clientData/>
  </xdr:twoCellAnchor>
  <xdr:twoCellAnchor>
    <xdr:from>
      <xdr:col>17</xdr:col>
      <xdr:colOff>381000</xdr:colOff>
      <xdr:row>34</xdr:row>
      <xdr:rowOff>161925</xdr:rowOff>
    </xdr:from>
    <xdr:to>
      <xdr:col>20</xdr:col>
      <xdr:colOff>234315</xdr:colOff>
      <xdr:row>36</xdr:row>
      <xdr:rowOff>41275</xdr:rowOff>
    </xdr:to>
    <xdr:sp macro="" textlink="" fLocksText="0">
      <xdr:nvSpPr>
        <xdr:cNvPr id="3" name="CustomShape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AAAAAAAAAAAEAAABQAAAAXEhWI/Txpz8AAAAAAAAAAAAAAAAAAOA/AAAAAAAA4D8AAAAAAADgPwAAAAAAAOA/AAAAAAAA4D8AAAAAAADgPwAAAAAAAOA/AAAAAAAA4D8CAAAAjAAAAAEAAAAAAAAA8vLy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DPVlf8MAAAAEAAAAAAAAAAAAAAAAAAAAAAAAAAeAAAAaAAAAAAAAAAAAAAAAAAAAAAAAAAAAAAAECcAABAnAAAAAAAAAAAAAAAAAAAAAAAAAAAAAAAAAAAAAAAAAAAAAFAAAAAAAAAAwMD/AAAAAABkAAAAMgAAAAAAAABkAAAAAAAAAH9/fwAKAAAAIQAAADAAAAAsAAAAIgAAABEAAABQA3kCJAAAABQAAADYAIUB00IAAOcpAAB6CgAAqgEAAAAAAAA="/>
            </a:ext>
          </a:extLst>
        </xdr:cNvSpPr>
      </xdr:nvSpPr>
      <xdr:spPr>
        <a:xfrm>
          <a:off x="10862945" y="6811645"/>
          <a:ext cx="1703070" cy="270510"/>
        </a:xfrm>
        <a:prstGeom prst="round2DiagRect">
          <a:avLst>
            <a:gd name="adj1" fmla="val 14722"/>
            <a:gd name="adj2" fmla="val 0"/>
          </a:avLst>
        </a:prstGeom>
        <a:solidFill>
          <a:srgbClr val="F2F2F2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t" upright="1"/>
        <a:lstStyle/>
        <a:p>
          <a:pPr algn="r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P</a:t>
          </a:r>
          <a:r>
            <a:rPr lang="pt-BR" sz="8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ermanente</a:t>
          </a:r>
        </a:p>
      </xdr:txBody>
    </xdr:sp>
    <xdr:clientData/>
  </xdr:twoCellAnchor>
  <xdr:twoCellAnchor>
    <xdr:from>
      <xdr:col>17</xdr:col>
      <xdr:colOff>381000</xdr:colOff>
      <xdr:row>36</xdr:row>
      <xdr:rowOff>161925</xdr:rowOff>
    </xdr:from>
    <xdr:to>
      <xdr:col>20</xdr:col>
      <xdr:colOff>234950</xdr:colOff>
      <xdr:row>38</xdr:row>
      <xdr:rowOff>40640</xdr:rowOff>
    </xdr:to>
    <xdr:sp macro="" textlink="" fLocksText="0">
      <xdr:nvSpPr>
        <xdr:cNvPr id="2" name="CustomShap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AAAAAAAAAAAEAAABQAAAAW5+FlFfSpz8AAAAAAAAAAAAAAAAAAOA/AAAAAAAA4D8AAAAAAADgPwAAAAAAAOA/AAAAAAAA4D8AAAAAAADgPwAAAAAAAOA/AAAAAAAA4D8CAAAAjAAAAAEAAAAAAAAA8vLy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GszK0sMAAAAEAAAAAAAAAAAAAAAAAAAAAAAAAAeAAAAaAAAAAAAAAAAAAAAAAAAAAAAAAAAAAAAECcAABAnAAAAAAAAAAAAAAAAAAAAAAAAAAAAAAAAAAAAAAAAAAAAAFAAAAAAAAAAwMD/AAAAAABkAAAAMgAAAAAAAABkAAAAAAAAAH9/fwAKAAAAIQAAADAAAAAsAAAAJAAAABEAAABQA3kCJgAAABQAAADVAIYB00IAAE8sAAB7CgAAqQEAAAAAAAA="/>
            </a:ext>
          </a:extLst>
        </xdr:cNvSpPr>
      </xdr:nvSpPr>
      <xdr:spPr>
        <a:xfrm>
          <a:off x="10862945" y="7202805"/>
          <a:ext cx="1703705" cy="269875"/>
        </a:xfrm>
        <a:prstGeom prst="round2DiagRect">
          <a:avLst>
            <a:gd name="adj1" fmla="val 14686"/>
            <a:gd name="adj2" fmla="val 0"/>
          </a:avLst>
        </a:prstGeom>
        <a:solidFill>
          <a:srgbClr val="F2F2F2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t" upright="1"/>
        <a:lstStyle/>
        <a:p>
          <a:pPr algn="r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S</a:t>
          </a:r>
          <a:r>
            <a:rPr lang="pt-BR" sz="8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erviço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721360</xdr:colOff>
      <xdr:row>1</xdr:row>
      <xdr:rowOff>179070</xdr:rowOff>
    </xdr:from>
    <xdr:to>
      <xdr:col>3</xdr:col>
      <xdr:colOff>759460</xdr:colOff>
      <xdr:row>3</xdr:row>
      <xdr:rowOff>4445</xdr:rowOff>
    </xdr:to>
    <xdr:sp macro="" textlink="" fLocksText="0">
      <xdr:nvSpPr>
        <xdr:cNvPr id="10" name="CustomShape 1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CAAAAAAAAAAEAAABQAAAArMaOaofwtj8AAAAAAAAAAAAAAAAAAOA/AAAAAAAA4D8AAAAAAADgPwAAAAAAAOA/AAAAAAAA4D8AAAAAAADgPwAAAAAAAOA/AAAAAAAA4D8CAAAAjAAAAAEAAAAAAAAAxNeb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AAAAAAMAAAAEAAAAAAAAAAAAAAAAAAAAAAAAAAeAAAAaAAAAAAAAAAAAAAAAAAAAAAAAAAAAAAAECcAABAnAAAAAAAAAAAAAAAAAAAAAAAAAAAAAAAAAAAAAAAAAAAAAFAAAAAAAAAAwMD/AAAAAABkAAAAMgAAAAAAAABkAAAAAAAAAH9/fwAKAAAAIQAAADAAAAAsAAAAAQAAAAIAAABDAkECAwAAAAMAAAAOAL0BQAcAAE4CAAAcCAAALgIAAAIAAAA="/>
            </a:ext>
          </a:extLst>
        </xdr:cNvSpPr>
      </xdr:nvSpPr>
      <xdr:spPr>
        <a:xfrm>
          <a:off x="1178560" y="374650"/>
          <a:ext cx="1318260" cy="354330"/>
        </a:xfrm>
        <a:prstGeom prst="round2DiagRect">
          <a:avLst>
            <a:gd name="adj1" fmla="val 16669"/>
            <a:gd name="adj2" fmla="val 0"/>
          </a:avLst>
        </a:prstGeom>
        <a:solidFill>
          <a:srgbClr val="C4D79B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b" upright="1"/>
        <a:lstStyle/>
        <a:p>
          <a:pPr algn="r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C</a:t>
          </a:r>
          <a:r>
            <a:rPr lang="pt-BR" sz="8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onsolidado</a:t>
          </a:r>
        </a:p>
      </xdr:txBody>
    </xdr:sp>
    <xdr:clientData/>
  </xdr:twoCellAnchor>
  <xdr:twoCellAnchor editAs="absolute">
    <xdr:from>
      <xdr:col>3</xdr:col>
      <xdr:colOff>829310</xdr:colOff>
      <xdr:row>1</xdr:row>
      <xdr:rowOff>179705</xdr:rowOff>
    </xdr:from>
    <xdr:to>
      <xdr:col>4</xdr:col>
      <xdr:colOff>381635</xdr:colOff>
      <xdr:row>3</xdr:row>
      <xdr:rowOff>5080</xdr:rowOff>
    </xdr:to>
    <xdr:sp macro="" textlink="" fLocksText="0">
      <xdr:nvSpPr>
        <xdr:cNvPr id="9" name="CustomShape 1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CAAAAAAAAAAEAAABQAAAAyWz3/+fTtj8AAAAAAAAAAAAAAAAAAOA/AAAAAAAA4D8AAAAAAADgPwAAAAAAAOA/AAAAAAAA4D8AAAAAAADgPwAAAAAAAOA/AAAAAAAA4D8CAAAAjAAAAAEAAAAAAAAA+uOQ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AAAAAAMAAAAEAAAAAAAAAAAAAAAAAAAAAAAAAAeAAAAaAAAAAAAAAAAAAAAAAAAAAAAAAAAAAAAECcAABAnAAAAAAAAAAAAAAAAAAAAAAAAAAAAAAAAAAAAAAAAAAAAAFAAAAAAAAAAwMD/AAAAAABkAAAAMgAAAAAAAABkAAAAAAAAAH9/fwAKAAAAIQAAADAAAAAsAAAAAQAAAAMAAABFAuYBAwAAAAQAAAAQAPoByg8AAE8CAAD/BwAALgIAAAIAAAA="/>
            </a:ext>
          </a:extLst>
        </xdr:cNvSpPr>
      </xdr:nvSpPr>
      <xdr:spPr>
        <a:xfrm>
          <a:off x="2566670" y="375285"/>
          <a:ext cx="1299845" cy="354330"/>
        </a:xfrm>
        <a:prstGeom prst="round2DiagRect">
          <a:avLst>
            <a:gd name="adj1" fmla="val 16356"/>
            <a:gd name="adj2" fmla="val 0"/>
          </a:avLst>
        </a:prstGeom>
        <a:solidFill>
          <a:srgbClr val="FAE390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b" upright="1"/>
        <a:lstStyle/>
        <a:p>
          <a:pPr algn="r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D</a:t>
          </a:r>
          <a:r>
            <a:rPr lang="pt-BR" sz="8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eserto</a:t>
          </a:r>
        </a:p>
      </xdr:txBody>
    </xdr:sp>
    <xdr:clientData/>
  </xdr:twoCellAnchor>
  <xdr:twoCellAnchor editAs="absolute">
    <xdr:from>
      <xdr:col>2</xdr:col>
      <xdr:colOff>57785</xdr:colOff>
      <xdr:row>1</xdr:row>
      <xdr:rowOff>163195</xdr:rowOff>
    </xdr:from>
    <xdr:to>
      <xdr:col>2</xdr:col>
      <xdr:colOff>715010</xdr:colOff>
      <xdr:row>2</xdr:row>
      <xdr:rowOff>100965</xdr:rowOff>
    </xdr:to>
    <xdr:sp macro="" textlink="" fLocksText="0">
      <xdr:nvSpPr>
        <xdr:cNvPr id="8" name="CustomShape 1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>
          <a:extLst>
            <a:ext uri="smNativeData">
              <pm:smNativeData xmlns="" xmlns:pm="smNativeData" val="SMDATA_11_iPrUYBMAAAAlAAAAZAAAAI0AAAAAjgAAAEcAAACOAAAARwAAAAAAAAAC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AAAAAMAAAAEAAAAAAAAAAAAAAAAAAAAAAAAAAeAAAAaAAAAAAAAAAAAAAAAAAAAAAAAAAAAAAAECcAABAnAAAAAAAAAAAAAAAAAAAAAAAAAAAAAAAAAAAAAAAAAAAAABQAAAAAAAAAwMD/AAAAAABkAAAAMgAAAAAAAABkAAAAAAAAAH9/fwAKAAAAIQAAADAAAAAsAAAAAQAAAAIAAAAPAi4AAgAAAAIAAADnATwCKwMAADUCAAALBAAAkQEAAAIAAAA="/>
            </a:ext>
          </a:extLst>
        </xdr:cNvSpPr>
      </xdr:nvSpPr>
      <xdr:spPr>
        <a:xfrm>
          <a:off x="514985" y="358775"/>
          <a:ext cx="657225" cy="254635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90170" tIns="45085" rIns="90170" bIns="45085" anchor="b" upright="1"/>
        <a:lstStyle/>
        <a:p>
          <a:pPr algn="r" defTabSz="360045" rtl="0">
            <a:defRPr sz="1000"/>
          </a:pPr>
          <a:r>
            <a:rPr lang="pt-BR" sz="700" b="0" i="0" u="none" strike="noStrike" kern="100" baseline="0">
              <a:solidFill>
                <a:srgbClr val="FEE3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Legenda:</a:t>
          </a:r>
        </a:p>
      </xdr:txBody>
    </xdr:sp>
    <xdr:clientData/>
  </xdr:twoCellAnchor>
  <xdr:twoCellAnchor editAs="absolute">
    <xdr:from>
      <xdr:col>4</xdr:col>
      <xdr:colOff>454025</xdr:colOff>
      <xdr:row>1</xdr:row>
      <xdr:rowOff>179705</xdr:rowOff>
    </xdr:from>
    <xdr:to>
      <xdr:col>6</xdr:col>
      <xdr:colOff>179070</xdr:colOff>
      <xdr:row>3</xdr:row>
      <xdr:rowOff>5080</xdr:rowOff>
    </xdr:to>
    <xdr:sp macro="" textlink="" fLocksText="0">
      <xdr:nvSpPr>
        <xdr:cNvPr id="7" name="CustomShape 1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CAAAAAAAAAAEAAABQAAAA/L84eG75tj8AAAAAAAAAAAAAAAAAAOA/AAAAAAAA4D8AAAAAAADgPwAAAAAAAOA/AAAAAAAA4D8AAAAAAADgPwAAAAAAAOA/AAAAAAAA4D8CAAAAjAAAAAEAAAAAAAAA2paU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AAAAAAMAAAAEAAAAAAAAAAAAAAAAAAAAAAAAAAeAAAAaAAAAAAAAAAAAAAAAAAAAAAAAAAAAAAAECcAABAnAAAAAAAAAAAAAAAAAAAAAAAAAAAAAAAAAAAAAAAAAAAAAFAAAAAAAAAAwMD/AAAAAABkAAAAMgAAAAAAAABkAAAAAAAAAH9/fwAKAAAAIQAAADAAAAAsAAAAAQAAAAQAAABFAloCAwAAAAYAAAAQAJUAOxgAAE8CAABfCAAALgIAAAIAAAA="/>
            </a:ext>
          </a:extLst>
        </xdr:cNvSpPr>
      </xdr:nvSpPr>
      <xdr:spPr>
        <a:xfrm>
          <a:off x="3938905" y="375285"/>
          <a:ext cx="1360805" cy="354330"/>
        </a:xfrm>
        <a:prstGeom prst="round2DiagRect">
          <a:avLst>
            <a:gd name="adj1" fmla="val 17233"/>
            <a:gd name="adj2" fmla="val 0"/>
          </a:avLst>
        </a:prstGeom>
        <a:solidFill>
          <a:srgbClr val="DA9694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b" upright="1"/>
        <a:lstStyle/>
        <a:p>
          <a:pPr algn="r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F</a:t>
          </a:r>
          <a:r>
            <a:rPr lang="pt-BR" sz="8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racassado</a:t>
          </a:r>
        </a:p>
      </xdr:txBody>
    </xdr:sp>
    <xdr:clientData/>
  </xdr:twoCellAnchor>
  <xdr:twoCellAnchor editAs="absolute">
    <xdr:from>
      <xdr:col>6</xdr:col>
      <xdr:colOff>257810</xdr:colOff>
      <xdr:row>1</xdr:row>
      <xdr:rowOff>179705</xdr:rowOff>
    </xdr:from>
    <xdr:to>
      <xdr:col>7</xdr:col>
      <xdr:colOff>293370</xdr:colOff>
      <xdr:row>3</xdr:row>
      <xdr:rowOff>5080</xdr:rowOff>
    </xdr:to>
    <xdr:sp macro="" textlink="" fLocksText="0">
      <xdr:nvSpPr>
        <xdr:cNvPr id="6" name="CustomShape 1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CAAAAAAAAAAEAAABQAAAAHCupwLzXtj8AAAAAAAAAAAAAAAAAAOA/AAAAAAAA4D8AAAAAAADgPwAAAAAAAOA/AAAAAAAA4D8AAAAAAADgPwAAAAAAAOA/AAAAAAAA4D8CAAAAjAAAAAEAAAAAAAAA+r+P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AAAAAAMAAAAEAAAAAAAAAAAAAAAAAAAAAAAAAAeAAAAaAAAAAAAAAAAAAAAAAAAAAAAAAAAAAAAECcAABAnAAAAAAAAAAAAAAAAAAAAAAAAAAAAAAAAAAAAAAAAAAAAAFAAAAAAAAAAwMD/AAAAAABkAAAAMgAAAAAAAABkAAAAAAAAAH9/fwAKAAAAIQAAADAAAAAsAAAAAQAAAAYAAABFAtcAAwAAAAcAAAAQAA0BFiEAAE8CAADIBwAALgIAAAIAAAA="/>
            </a:ext>
          </a:extLst>
        </xdr:cNvSpPr>
      </xdr:nvSpPr>
      <xdr:spPr>
        <a:xfrm>
          <a:off x="5378450" y="375285"/>
          <a:ext cx="1264920" cy="354330"/>
        </a:xfrm>
        <a:prstGeom prst="round2DiagRect">
          <a:avLst>
            <a:gd name="adj1" fmla="val 15927"/>
            <a:gd name="adj2" fmla="val 0"/>
          </a:avLst>
        </a:prstGeom>
        <a:solidFill>
          <a:srgbClr val="FABF8F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b" upright="1"/>
        <a:lstStyle/>
        <a:p>
          <a:pPr algn="r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R</a:t>
          </a:r>
          <a:r>
            <a:rPr lang="pt-BR" sz="8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evogado</a:t>
          </a:r>
        </a:p>
      </xdr:txBody>
    </xdr:sp>
    <xdr:clientData/>
  </xdr:twoCellAnchor>
  <xdr:twoCellAnchor editAs="absolute">
    <xdr:from>
      <xdr:col>7</xdr:col>
      <xdr:colOff>358140</xdr:colOff>
      <xdr:row>1</xdr:row>
      <xdr:rowOff>179705</xdr:rowOff>
    </xdr:from>
    <xdr:to>
      <xdr:col>8</xdr:col>
      <xdr:colOff>613410</xdr:colOff>
      <xdr:row>3</xdr:row>
      <xdr:rowOff>5080</xdr:rowOff>
    </xdr:to>
    <xdr:sp macro="" textlink="" fLocksText="0">
      <xdr:nvSpPr>
        <xdr:cNvPr id="5" name="CustomShape 1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CAAAAAAAAAAEAAABQAAAA5DwQwLvctj8AAAAAAAAAAAAAAAAAAOA/AAAAAAAA4D8AAAAAAADgPwAAAAAAAOA/AAAAAAAA4D8AAAAAAADgPwAAAAAAAOA/AAAAAAAA4D8CAAAAjAAAAAEAAAAAAAAAsaDH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AAAAAAMAAAAEAAAAAAAAAAAAAAAAAAAAAAAAAAeAAAAaAAAAAAAAAAAAAAAAAAAAAAAAAAAAAAAECcAABAnAAAAAAAAAAAAAAAAAAAAAAAAAAAAAAAAAAAAAAAAAAAAAFAAAAAAAAAAwMD/AAAAAABkAAAAMgAAAAAAAABkAAAAAAAAAH9/fwAKAAAAIQAAADAAAAAsAAAAAQAAAAcAAABFAkgBAwAAAAgAAAAQAGQARCkAAE8CAAByCAAALgIAAAIAAAA="/>
            </a:ext>
          </a:extLst>
        </xdr:cNvSpPr>
      </xdr:nvSpPr>
      <xdr:spPr>
        <a:xfrm>
          <a:off x="6708140" y="375285"/>
          <a:ext cx="1372870" cy="354330"/>
        </a:xfrm>
        <a:prstGeom prst="round2DiagRect">
          <a:avLst>
            <a:gd name="adj1" fmla="val 17301"/>
            <a:gd name="adj2" fmla="val 0"/>
          </a:avLst>
        </a:prstGeom>
        <a:solidFill>
          <a:srgbClr val="B1A0C7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b" upright="1"/>
        <a:lstStyle/>
        <a:p>
          <a:pPr algn="r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C</a:t>
          </a:r>
          <a:r>
            <a:rPr lang="pt-BR" sz="8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ancelado</a:t>
          </a:r>
        </a:p>
      </xdr:txBody>
    </xdr:sp>
    <xdr:clientData/>
  </xdr:twoCellAnchor>
  <xdr:twoCellAnchor editAs="absolute">
    <xdr:from>
      <xdr:col>8</xdr:col>
      <xdr:colOff>680720</xdr:colOff>
      <xdr:row>1</xdr:row>
      <xdr:rowOff>179705</xdr:rowOff>
    </xdr:from>
    <xdr:to>
      <xdr:col>8</xdr:col>
      <xdr:colOff>1986915</xdr:colOff>
      <xdr:row>3</xdr:row>
      <xdr:rowOff>5080</xdr:rowOff>
    </xdr:to>
    <xdr:sp macro="" textlink="" fLocksText="0">
      <xdr:nvSpPr>
        <xdr:cNvPr id="4" name="CustomShape 1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CAAAAAAAAAAEAAABQAAAArAkzi3+3tj8AAAAAAAAAAAAAAAAAAOA/AAAAAAAA4D8AAAAAAADgPwAAAAAAAOA/AAAAAAAA4D8AAAAAAADgPwAAAAAAAOA/AAAAAAAA4D8CAAAAjAAAAAEAAAAAAAAAv7+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AAAAAAMAAAAEAAAAAAAAAAAAAAAAAAAAAAAAAAeAAAAaAAAAAAAAAAAAAAAAAAAAAAAAAAAAAAAECcAABAnAAAAAAAAAAAAAAAAAAAAAAAAAAAAAAAAAAAAAAAAAAAAAFAAAAAAAAAAwMD/AAAAAABkAAAAMgAAAAAAAABkAAAAAAAAAH9/fwAKAAAAIQAAADAAAAAsAAAAAQAAAAgAAABFAm8AAwAAAAgAAAAQAEQBIDIAAE8CAAAJCAAALgIAAAIAAAA="/>
            </a:ext>
          </a:extLst>
        </xdr:cNvSpPr>
      </xdr:nvSpPr>
      <xdr:spPr>
        <a:xfrm>
          <a:off x="8148320" y="375285"/>
          <a:ext cx="1306195" cy="354330"/>
        </a:xfrm>
        <a:prstGeom prst="round2DiagRect">
          <a:avLst>
            <a:gd name="adj1" fmla="val 16356"/>
            <a:gd name="adj2" fmla="val 0"/>
          </a:avLst>
        </a:prstGeom>
        <a:solidFill>
          <a:srgbClr val="BFBFBF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b" upright="1"/>
        <a:lstStyle/>
        <a:p>
          <a:pPr algn="r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A</a:t>
          </a:r>
          <a:r>
            <a:rPr lang="pt-BR" sz="8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rquivado</a:t>
          </a:r>
        </a:p>
      </xdr:txBody>
    </xdr:sp>
    <xdr:clientData/>
  </xdr:twoCellAnchor>
  <xdr:twoCellAnchor editAs="absolute">
    <xdr:from>
      <xdr:col>8</xdr:col>
      <xdr:colOff>2047875</xdr:colOff>
      <xdr:row>1</xdr:row>
      <xdr:rowOff>179705</xdr:rowOff>
    </xdr:from>
    <xdr:to>
      <xdr:col>8</xdr:col>
      <xdr:colOff>3354070</xdr:colOff>
      <xdr:row>3</xdr:row>
      <xdr:rowOff>5080</xdr:rowOff>
    </xdr:to>
    <xdr:sp macro="" textlink="" fLocksText="0">
      <xdr:nvSpPr>
        <xdr:cNvPr id="3" name="CustomShape 1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CAAAAAAAAAAEAAABQAAAArAkzi3+3tj8AAAAAAAAAAAAAAAAAAOA/AAAAAAAA4D8AAAAAAADgPwAAAAAAAOA/AAAAAAAA4D8AAAAAAADgPwAAAAAAAOA/AAAAAAAA4D8CAAAAjAAAAAEAAAAAAAAAL3W1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AAAAAAMAAAAEAAAAAAAAAAAAAAAAAAAAAAAAAAeAAAAaAAAAAAAAAAAAAAAAAAAAAAAAAAAAAAAECcAABAnAAAAAAAAAAAAAAAAAAAAAAAAAAAAAAAAAAAAAAAAAAAAAFAAAAAAAAAAwMD/AAAAAABkAAAAMgAAAAAAAABkAAAAAAAAAH9/fwAKAAAAIQAAADAAAAAsAAAAAQAAAAgAAABFAk4BAwAAAAgAAAAQACMCiToAAE8CAAAJCAAALgIAAAIAAAA="/>
            </a:ext>
          </a:extLst>
        </xdr:cNvSpPr>
      </xdr:nvSpPr>
      <xdr:spPr>
        <a:xfrm>
          <a:off x="9515475" y="375285"/>
          <a:ext cx="1306195" cy="354330"/>
        </a:xfrm>
        <a:prstGeom prst="round2DiagRect">
          <a:avLst>
            <a:gd name="adj1" fmla="val 16356"/>
            <a:gd name="adj2" fmla="val 0"/>
          </a:avLst>
        </a:prstGeom>
        <a:solidFill>
          <a:srgbClr val="2F75B5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b" upright="1"/>
        <a:lstStyle/>
        <a:p>
          <a:pPr algn="r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T</a:t>
          </a:r>
          <a:r>
            <a:rPr lang="pt-BR" sz="8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ransportado</a:t>
          </a:r>
        </a:p>
      </xdr:txBody>
    </xdr:sp>
    <xdr:clientData/>
  </xdr:twoCellAnchor>
  <xdr:twoCellAnchor editAs="absolute">
    <xdr:from>
      <xdr:col>2</xdr:col>
      <xdr:colOff>57785</xdr:colOff>
      <xdr:row>0</xdr:row>
      <xdr:rowOff>71120</xdr:rowOff>
    </xdr:from>
    <xdr:to>
      <xdr:col>8</xdr:col>
      <xdr:colOff>3538220</xdr:colOff>
      <xdr:row>1</xdr:row>
      <xdr:rowOff>228600</xdr:rowOff>
    </xdr:to>
    <xdr:sp macro="" textlink="" fLocksText="0">
      <xdr:nvSpPr>
        <xdr:cNvPr id="2" name="CustomShap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>
          <a:extLst>
            <a:ext uri="smNativeData">
              <pm:smNativeData xmlns="" xmlns:pm="smNativeData" val="SMDATA_11_iPrUYBMAAAAlAAAArgAAAI0AAAAAjgAAAEcAAACOAAAARwAAAAAAAAABAAAAAAAAAAEAAABQAAAA4/Zs29NXhz8AAAAAAADgPwAAAAAAAOA/AAAAAAAA4D8AAAAAAADgPwAAAAAAAOA/AAAAAAAA4D8AAAAAAADgPwAAAAAAAOA/AAAAAAAA4D8CAAAAjAAAAAEAAAAAAAAA/uMAAAAAAAAZ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AAAAAAAAAAAEAAAAAAAAAPAAAACoAAAAqAAAAZAAAAGQAAAAAAAAAy8vLADwAAAAqAAAAKgAAAGQAAABkAAAAAAAAABcAAAAUAAAAAAAAAAAAAAD/fwAA/38AAAAAAAAJAAAABAAAAAAAAAAMAAAAEAAAAAAAAAAAAAAAAAAAAAAAAAAeAAAAaAAAAAAAAAAAAAAAAAAAAAAAAAAAAAAAECcAABAnAAAAAAAAAAAAAAAAAAAAAAAAAAAAAAAAAAAAAAAAAAAAAFAAAAAAAAAAwMD/AAAAAABkAAAAMgAAAAAAAABkAAAAAAAAAH9/fwAKAAAAIQAAADAAAAAsAAAAAAAAAAIAAAB0AS4AAQAAAAgAAADjAkECKwMAAHAAAACJQAAALAIAAAIAAAA="/>
            </a:ext>
          </a:extLst>
        </xdr:cNvSpPr>
      </xdr:nvSpPr>
      <xdr:spPr>
        <a:xfrm>
          <a:off x="514985" y="71120"/>
          <a:ext cx="10490835" cy="353060"/>
        </a:xfrm>
        <a:prstGeom prst="round1Rect">
          <a:avLst>
            <a:gd name="adj" fmla="val 16934"/>
          </a:avLst>
        </a:prstGeom>
        <a:solidFill>
          <a:srgbClr val="FEE300">
            <a:alpha val="75000"/>
          </a:srgbClr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2700000" algn="tl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ctr" upright="1"/>
        <a:lstStyle/>
        <a:p>
          <a:pPr algn="l" defTabSz="360045" rtl="0">
            <a:defRPr sz="1000"/>
          </a:pPr>
          <a:r>
            <a:rPr lang="pt-BR" sz="1600" b="1" i="0" u="none" strike="noStrike" kern="100" baseline="0">
              <a:solidFill>
                <a:srgbClr val="0F4098"/>
              </a:solidFill>
              <a:latin typeface="Verdana" pitchFamily="2" charset="0"/>
              <a:ea typeface="Verdana" pitchFamily="2" charset="0"/>
              <a:cs typeface="Arial" pitchFamily="2" charset="0"/>
            </a:rPr>
            <a:t>Agenda de processos | 2021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118745</xdr:colOff>
      <xdr:row>34</xdr:row>
      <xdr:rowOff>68580</xdr:rowOff>
    </xdr:from>
    <xdr:to>
      <xdr:col>11</xdr:col>
      <xdr:colOff>1697990</xdr:colOff>
      <xdr:row>42</xdr:row>
      <xdr:rowOff>6985</xdr:rowOff>
    </xdr:to>
    <xdr:pic>
      <xdr:nvPicPr>
        <xdr:cNvPr id="48" name="Imagem 19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PicPr>
          <a:extLst>
            <a:ext uri="smNativeData">
              <pm:smNativeData xmlns="" xmlns:pm="smNativeData" val="SMDATA_13_iPrUYBMAAAAlAAAAEQ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DAAAABAAAAAAAAAAAAAAAAAAAAAAAAAAHgAAAGgAAAAAAAAAAAAAAAAAAAAAAAAAAAAAABAnAAAQJwAAAAAAAAAAAAAAAAAAAAAAAAAAAAAAAAAAAAAAAAAAAAAUAAAAAAAAAMDA/wAAAAAAZAAAADIAAAAAAAAAZAAAAAAAAAB/f38ACgAAACEAAAAwAAAALAAAACIAAAALAAAAYAFAACoAAAALAAAAJQCTAxtaAAA2KwAAtwkAAGwJAAABAAAA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47545" y="7024370"/>
          <a:ext cx="1579245" cy="153162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oneCell">
    <xdr:from>
      <xdr:col>1</xdr:col>
      <xdr:colOff>457835</xdr:colOff>
      <xdr:row>30</xdr:row>
      <xdr:rowOff>70485</xdr:rowOff>
    </xdr:from>
    <xdr:to>
      <xdr:col>5</xdr:col>
      <xdr:colOff>1757045</xdr:colOff>
      <xdr:row>45</xdr:row>
      <xdr:rowOff>36830</xdr:rowOff>
    </xdr:to>
    <xdr:graphicFrame macro="">
      <xdr:nvGraphicFramePr>
        <xdr:cNvPr id="47" name="Gráfico 4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396240</xdr:colOff>
      <xdr:row>51</xdr:row>
      <xdr:rowOff>90805</xdr:rowOff>
    </xdr:from>
    <xdr:to>
      <xdr:col>5</xdr:col>
      <xdr:colOff>1696085</xdr:colOff>
      <xdr:row>66</xdr:row>
      <xdr:rowOff>1270</xdr:rowOff>
    </xdr:to>
    <xdr:graphicFrame macro="">
      <xdr:nvGraphicFramePr>
        <xdr:cNvPr id="46" name="Gráfico 5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356235</xdr:colOff>
      <xdr:row>73</xdr:row>
      <xdr:rowOff>10795</xdr:rowOff>
    </xdr:from>
    <xdr:to>
      <xdr:col>5</xdr:col>
      <xdr:colOff>1652905</xdr:colOff>
      <xdr:row>87</xdr:row>
      <xdr:rowOff>75565</xdr:rowOff>
    </xdr:to>
    <xdr:graphicFrame macro="">
      <xdr:nvGraphicFramePr>
        <xdr:cNvPr id="45" name="Gráfico 1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398145</xdr:colOff>
      <xdr:row>93</xdr:row>
      <xdr:rowOff>144145</xdr:rowOff>
    </xdr:from>
    <xdr:to>
      <xdr:col>5</xdr:col>
      <xdr:colOff>1697990</xdr:colOff>
      <xdr:row>108</xdr:row>
      <xdr:rowOff>46355</xdr:rowOff>
    </xdr:to>
    <xdr:graphicFrame macro="">
      <xdr:nvGraphicFramePr>
        <xdr:cNvPr id="44" name="Gráfico 11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10</xdr:col>
      <xdr:colOff>675640</xdr:colOff>
      <xdr:row>93</xdr:row>
      <xdr:rowOff>154305</xdr:rowOff>
    </xdr:from>
    <xdr:to>
      <xdr:col>20</xdr:col>
      <xdr:colOff>161290</xdr:colOff>
      <xdr:row>108</xdr:row>
      <xdr:rowOff>57150</xdr:rowOff>
    </xdr:to>
    <xdr:graphicFrame macro="">
      <xdr:nvGraphicFramePr>
        <xdr:cNvPr id="43" name="Gráfico 12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422910</xdr:colOff>
      <xdr:row>114</xdr:row>
      <xdr:rowOff>119380</xdr:rowOff>
    </xdr:from>
    <xdr:to>
      <xdr:col>5</xdr:col>
      <xdr:colOff>1722120</xdr:colOff>
      <xdr:row>129</xdr:row>
      <xdr:rowOff>1270</xdr:rowOff>
    </xdr:to>
    <xdr:graphicFrame macro="">
      <xdr:nvGraphicFramePr>
        <xdr:cNvPr id="42" name="Gráfico 13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517525</xdr:colOff>
      <xdr:row>174</xdr:row>
      <xdr:rowOff>138430</xdr:rowOff>
    </xdr:from>
    <xdr:to>
      <xdr:col>6</xdr:col>
      <xdr:colOff>191135</xdr:colOff>
      <xdr:row>238</xdr:row>
      <xdr:rowOff>22860</xdr:rowOff>
    </xdr:to>
    <xdr:graphicFrame macro="">
      <xdr:nvGraphicFramePr>
        <xdr:cNvPr id="41" name="Gráfico 15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11</xdr:col>
      <xdr:colOff>118745</xdr:colOff>
      <xdr:row>54</xdr:row>
      <xdr:rowOff>40005</xdr:rowOff>
    </xdr:from>
    <xdr:to>
      <xdr:col>11</xdr:col>
      <xdr:colOff>1697990</xdr:colOff>
      <xdr:row>62</xdr:row>
      <xdr:rowOff>3175</xdr:rowOff>
    </xdr:to>
    <xdr:pic>
      <xdr:nvPicPr>
        <xdr:cNvPr id="40" name="Imagem 21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PicPr>
          <a:extLst>
            <a:ext uri="smNativeData">
              <pm:smNativeData xmlns="" xmlns:pm="smNativeData" val="SMDATA_13_iPrUYBMAAAAlAAAAEQ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DAAAABAAAAAAAAAAAAAAAAAAAAAAAAAAHgAAAGgAAAAAAAAAAAAAAAAAAAAAAAAAAAAAABAnAAAQJwAAAAAAAAAAAAAAAAAAAAAAAAAAAAAAAAAAAAAAAAAAAAAUAAAAAAAAAMDA/wAAAAAAZAAAADIAAAAAAAAAZAAAAAAAAAB/f38ACgAAACEAAAAwAAAALAAAADYAAAALAAAAzQBAAD4AAAALAAAAEQCTAxtaAACdQwAAtwkAAIcJAAABAAAA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47545" y="10991215"/>
          <a:ext cx="1579245" cy="1548765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oneCell">
    <xdr:from>
      <xdr:col>11</xdr:col>
      <xdr:colOff>124460</xdr:colOff>
      <xdr:row>178</xdr:row>
      <xdr:rowOff>43815</xdr:rowOff>
    </xdr:from>
    <xdr:to>
      <xdr:col>11</xdr:col>
      <xdr:colOff>1704975</xdr:colOff>
      <xdr:row>186</xdr:row>
      <xdr:rowOff>13970</xdr:rowOff>
    </xdr:to>
    <xdr:pic>
      <xdr:nvPicPr>
        <xdr:cNvPr id="39" name="Imagem 22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PicPr>
          <a:extLst>
            <a:ext uri="smNativeData">
              <pm:smNativeData xmlns="" xmlns:pm="smNativeData" val="SMDATA_13_iPrUYBMAAAAlAAAAEQ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DAAAABAAAAAAAAAAAAAAAAAAAAAAAAAAHgAAAGgAAAAAAAAAAAAAAAAAAAAAAAAAAAAAABAnAAAQJwAAAAAAAAAAAAAAAAAAAAAAAAAAAAAAAAAAAAAAAAAAAAAUAAAAAAAAAMDA/wAAAAAAZAAAADIAAAAAAAAAZAAAAAAAAAB/f38ACgAAACEAAAAwAAAALAAAALIAAAALAAAA4QBDALoAAAALAAAASACXAyRaAADv2gAAuQkAAKEJAAABAAAA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53260" y="35589845"/>
          <a:ext cx="1580515" cy="1565275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oneCell">
    <xdr:from>
      <xdr:col>25</xdr:col>
      <xdr:colOff>104140</xdr:colOff>
      <xdr:row>7</xdr:row>
      <xdr:rowOff>171450</xdr:rowOff>
    </xdr:from>
    <xdr:to>
      <xdr:col>26</xdr:col>
      <xdr:colOff>500380</xdr:colOff>
      <xdr:row>20</xdr:row>
      <xdr:rowOff>41275</xdr:rowOff>
    </xdr:to>
    <xdr:sp macro="" textlink="" fLocksText="0">
      <xdr:nvSpPr>
        <xdr:cNvPr id="38" name="CustomShape 1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>
          <a:extLst>
            <a:ext uri="smNativeData">
              <pm:smNativeData xmlns="" xmlns:pm="smNativeData" val="SMDATA_11_iPrUYBMAAAAlAAAAZAAAAI0AAAAAjgAAAEcAAACOAAAARwAAAAAAAAAAAAAAAAAAAAEAAABQAAAAAAAAAAAA4D8AAAAAAADgPwAAAAAAAOA/AAAAAAAA4D8AAAAAAADgPwAAAAAAAOA/AAAAAAAA4D8AAAAAAADgPwAAAAAAAOA/AAAAAAAA4D8CAAAAjAAAAAEAAAAAAAAA////AAAAAAAAAAAAAAAAAAAAAAAAAAAAAAAAAAAAAAAAAAAAeAAAAAEAAABAAAAAAAAAAAAAAABaAAAAAAAAAAAAAAAAAAAAAAAAAAAAAAAAAAAAAAAAAAAAAAAAAAAAAAAAAAAAAAAAAAAAAAAAAAAAAAAAAAAAAAAAAAAAAAAAAAAAFAAAADwAAAABAAAAAAAAAAC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EEAQQAMAAAAEAAAAAAAAAAAAAAAAAAAAAAAAAAeAAAAaAAAAAAAAAAAAAAAAAAAAAAAAAAAAAAAECcAABAnAAAAAAAAAAAAAAAAAAAAAAAAAAAAAAAAAAAAAAAAAAAAABQAAAAAAAAAwMD/AAAAAABkAAAAMgAAAAAAAABkAAAAAAAAAH9/fwAKAAAAIQAAADAAAAAsAAAABwAAABkAAABjA0YAFAAAABoAAADJAFABhJgAANYJAADQCwAA4w8AAAEAAAA="/>
            </a:ext>
          </a:extLst>
        </xdr:cNvSpPr>
      </xdr:nvSpPr>
      <xdr:spPr>
        <a:xfrm>
          <a:off x="24792940" y="1598930"/>
          <a:ext cx="1920240" cy="2582545"/>
        </a:xfrm>
        <a:prstGeom prst="rect">
          <a:avLst/>
        </a:prstGeom>
        <a:solidFill>
          <a:srgbClr val="FFFFFF"/>
        </a:solidFill>
        <a:ln w="9525" cap="flat">
          <a:solidFill>
            <a:srgbClr val="008000"/>
          </a:solidFill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90170" tIns="45085" rIns="90170" bIns="45085" anchor="t" upright="1"/>
        <a:lstStyle/>
        <a:p>
          <a:pPr algn="l" defTabSz="360045" rtl="0">
            <a:defRPr sz="1000"/>
          </a:pPr>
          <a:r>
            <a:rPr lang="pt-BR" sz="1100" b="0" i="0" u="none" strike="noStrike" kern="100" baseline="0">
              <a:solidFill>
                <a:srgbClr val="000000"/>
              </a:solidFill>
              <a:latin typeface="Times New Roman" pitchFamily="1" charset="0"/>
              <a:ea typeface="Arial" pitchFamily="2" charset="0"/>
              <a:cs typeface="Arial" pitchFamily="2" charset="0"/>
            </a:rPr>
            <a:t>Esta forma representa um slicer. Os slicers podem ser usados, no mínimo, no Excel 2010.</a:t>
          </a:r>
        </a:p>
        <a:p>
          <a:pPr algn="l" defTabSz="360045" rtl="0">
            <a:defRPr sz="1000"/>
          </a:pPr>
          <a:endParaRPr/>
        </a:p>
        <a:p>
          <a:pPr algn="l" defTabSz="360045" rtl="0">
            <a:defRPr sz="1000"/>
          </a:pPr>
          <a:r>
            <a:rPr lang="pt-BR" sz="1100" b="0" i="0" u="none" strike="noStrike" kern="100" baseline="0">
              <a:solidFill>
                <a:srgbClr val="000000"/>
              </a:solidFill>
              <a:latin typeface="Times New Roman" pitchFamily="1" charset="0"/>
              <a:ea typeface="Arial" pitchFamily="2" charset="0"/>
              <a:cs typeface="Arial" pitchFamily="2" charset="0"/>
            </a:rPr>
            <a:t>Caso a forma tenha sido modificada em uma versão anterior do Excel, ou a pasta de trabalho tenha sido salva no Excel 2003 ou</a:t>
          </a:r>
        </a:p>
        <a:p>
          <a:pPr algn="l" defTabSz="360045" rtl="0">
            <a:defRPr sz="1000"/>
          </a:pPr>
          <a:r>
            <a:rPr lang="pt-BR" sz="1100" b="0" i="0" u="none" strike="noStrike" kern="100" baseline="0">
              <a:solidFill>
                <a:srgbClr val="000000"/>
              </a:solidFill>
              <a:latin typeface="Times New Roman" pitchFamily="1" charset="0"/>
              <a:ea typeface="Arial" pitchFamily="2" charset="0"/>
              <a:cs typeface="Arial" pitchFamily="2" charset="0"/>
            </a:rPr>
            <a:t>anterior, o slicer não poderá ser usado.</a:t>
          </a:r>
        </a:p>
      </xdr:txBody>
    </xdr:sp>
    <xdr:clientData/>
  </xdr:twoCellAnchor>
  <xdr:twoCellAnchor editAs="oneCell">
    <xdr:from>
      <xdr:col>26</xdr:col>
      <xdr:colOff>590550</xdr:colOff>
      <xdr:row>7</xdr:row>
      <xdr:rowOff>152400</xdr:rowOff>
    </xdr:from>
    <xdr:to>
      <xdr:col>27</xdr:col>
      <xdr:colOff>985520</xdr:colOff>
      <xdr:row>20</xdr:row>
      <xdr:rowOff>22225</xdr:rowOff>
    </xdr:to>
    <xdr:sp macro="" textlink="" fLocksText="0">
      <xdr:nvSpPr>
        <xdr:cNvPr id="37" name="CustomShape 1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>
          <a:extLst>
            <a:ext uri="smNativeData">
              <pm:smNativeData xmlns="" xmlns:pm="smNativeData" val="SMDATA_11_iPrUYBMAAAAlAAAAZAAAAI0AAAAAjgAAAEcAAACOAAAARwAAAAAAAAAAAAAAAAAAAAEAAABQAAAAAAAAAAAA4D8AAAAAAADgPwAAAAAAAOA/AAAAAAAA4D8AAAAAAADgPwAAAAAAAOA/AAAAAAAA4D8AAAAAAADgPwAAAAAAAOA/AAAAAAAA4D8CAAAAjAAAAAEAAAAAAAAA////AAAAAAAAAAAAAAAAAAAAAAAAAAAAAAAAAAAAAAAAAAAAeAAAAAEAAABAAAAAAAAAAAAAAABaAAAAAAAAAAAAAAAAAAAAAAAAAAAAAAAAAAAAAAAAAAAAAAAAAAAAAAAAAAAAAAAAAAAAAAAAAAAAAAAAAAAAAAAAAAAAAAAAAAAAFAAAADwAAAABAAAAAAAAAAC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EEASwAMAAAAEAAAAAAAAAAAAAAAAAAAAAAAAAAeAAAAaAAAAAAAAAAAAAAAAAAAAAAAAAAAAAAAECcAABAnAAAAAAAAAAAAAAAAAAAAAAAAAAAAAAAAAAAAAAAAAAAAABQAAAAAAAAAwMD/AAAAAABkAAAAMgAAAAAAAABkAAAAAAAAAH9/fwAKAAAAIQAAADAAAAAsAAAABwAAABoAAAACA40BFAAAABsAAABsAJYC4qQAALgJAADOCwAA4w8AAAEAAAA="/>
            </a:ext>
          </a:extLst>
        </xdr:cNvSpPr>
      </xdr:nvSpPr>
      <xdr:spPr>
        <a:xfrm>
          <a:off x="26803350" y="1579880"/>
          <a:ext cx="1918970" cy="2582545"/>
        </a:xfrm>
        <a:prstGeom prst="rect">
          <a:avLst/>
        </a:prstGeom>
        <a:solidFill>
          <a:srgbClr val="FFFFFF"/>
        </a:solidFill>
        <a:ln w="9525" cap="flat">
          <a:solidFill>
            <a:srgbClr val="008000"/>
          </a:solidFill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90170" tIns="45085" rIns="90170" bIns="45085" anchor="t" upright="1"/>
        <a:lstStyle/>
        <a:p>
          <a:pPr algn="l" defTabSz="360045" rtl="0">
            <a:defRPr sz="1000"/>
          </a:pPr>
          <a:r>
            <a:rPr lang="pt-BR" sz="1100" b="0" i="0" u="none" strike="noStrike" kern="100" baseline="0">
              <a:solidFill>
                <a:srgbClr val="000000"/>
              </a:solidFill>
              <a:latin typeface="Times New Roman" pitchFamily="1" charset="0"/>
              <a:ea typeface="Arial" pitchFamily="2" charset="0"/>
              <a:cs typeface="Arial" pitchFamily="2" charset="0"/>
            </a:rPr>
            <a:t>Esta forma representa um slicer. Os slicers podem ser usados, no mínimo, no Excel 2010.</a:t>
          </a:r>
        </a:p>
        <a:p>
          <a:pPr algn="l" defTabSz="360045" rtl="0">
            <a:defRPr sz="1000"/>
          </a:pPr>
          <a:endParaRPr/>
        </a:p>
        <a:p>
          <a:pPr algn="l" defTabSz="360045" rtl="0">
            <a:defRPr sz="1000"/>
          </a:pPr>
          <a:r>
            <a:rPr lang="pt-BR" sz="1100" b="0" i="0" u="none" strike="noStrike" kern="100" baseline="0">
              <a:solidFill>
                <a:srgbClr val="000000"/>
              </a:solidFill>
              <a:latin typeface="Times New Roman" pitchFamily="1" charset="0"/>
              <a:ea typeface="Arial" pitchFamily="2" charset="0"/>
              <a:cs typeface="Arial" pitchFamily="2" charset="0"/>
            </a:rPr>
            <a:t>Caso a forma tenha sido modificada em uma versão anterior do Excel, ou a pasta de trabalho tenha sido salva no Excel 2003 ou</a:t>
          </a:r>
        </a:p>
        <a:p>
          <a:pPr algn="l" defTabSz="360045" rtl="0">
            <a:defRPr sz="1000"/>
          </a:pPr>
          <a:r>
            <a:rPr lang="pt-BR" sz="1100" b="0" i="0" u="none" strike="noStrike" kern="100" baseline="0">
              <a:solidFill>
                <a:srgbClr val="000000"/>
              </a:solidFill>
              <a:latin typeface="Times New Roman" pitchFamily="1" charset="0"/>
              <a:ea typeface="Arial" pitchFamily="2" charset="0"/>
              <a:cs typeface="Arial" pitchFamily="2" charset="0"/>
            </a:rPr>
            <a:t>anterior, o slicer não poderá ser usado.</a:t>
          </a:r>
        </a:p>
      </xdr:txBody>
    </xdr:sp>
    <xdr:clientData/>
  </xdr:twoCellAnchor>
  <xdr:twoCellAnchor editAs="oneCell">
    <xdr:from>
      <xdr:col>1</xdr:col>
      <xdr:colOff>460375</xdr:colOff>
      <xdr:row>152</xdr:row>
      <xdr:rowOff>144145</xdr:rowOff>
    </xdr:from>
    <xdr:to>
      <xdr:col>5</xdr:col>
      <xdr:colOff>1758950</xdr:colOff>
      <xdr:row>167</xdr:row>
      <xdr:rowOff>25400</xdr:rowOff>
    </xdr:to>
    <xdr:graphicFrame macro="">
      <xdr:nvGraphicFramePr>
        <xdr:cNvPr id="36" name="Gráfico 2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</xdr:col>
      <xdr:colOff>834390</xdr:colOff>
      <xdr:row>246</xdr:row>
      <xdr:rowOff>57150</xdr:rowOff>
    </xdr:from>
    <xdr:to>
      <xdr:col>6</xdr:col>
      <xdr:colOff>350520</xdr:colOff>
      <xdr:row>260</xdr:row>
      <xdr:rowOff>150495</xdr:rowOff>
    </xdr:to>
    <xdr:graphicFrame macro="">
      <xdr:nvGraphicFramePr>
        <xdr:cNvPr id="35" name="Gráfico 24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1</xdr:col>
      <xdr:colOff>829945</xdr:colOff>
      <xdr:row>261</xdr:row>
      <xdr:rowOff>98425</xdr:rowOff>
    </xdr:from>
    <xdr:to>
      <xdr:col>6</xdr:col>
      <xdr:colOff>347345</xdr:colOff>
      <xdr:row>276</xdr:row>
      <xdr:rowOff>8890</xdr:rowOff>
    </xdr:to>
    <xdr:graphicFrame macro="">
      <xdr:nvGraphicFramePr>
        <xdr:cNvPr id="34" name="Gráfico 25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7</xdr:col>
      <xdr:colOff>122555</xdr:colOff>
      <xdr:row>261</xdr:row>
      <xdr:rowOff>42545</xdr:rowOff>
    </xdr:from>
    <xdr:to>
      <xdr:col>7</xdr:col>
      <xdr:colOff>1701165</xdr:colOff>
      <xdr:row>269</xdr:row>
      <xdr:rowOff>12700</xdr:rowOff>
    </xdr:to>
    <xdr:pic>
      <xdr:nvPicPr>
        <xdr:cNvPr id="33" name="Imagem 29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PicPr>
          <a:extLst>
            <a:ext uri="smNativeData">
              <pm:smNativeData xmlns="" xmlns:pm="smNativeData" val="SMDATA_13_iPrUYBMAAAAlAAAAEQ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DAAAABAAAAAAAAAAAAAAAAAAAAAAAAAAHgAAAGgAAAAAAAAAAAAAAAAAAAAAAAAAAAAAABAnAAAQJwAAAAAAAAAAAAAAAAAAAAAAAAAAAAAAAAAAAAAAAAAAAAAUAAAAAAAAAMDA/wAAAAAAZAAAADIAAAAAAAAAZAAAAAAAAAB/f38ACgAAACEAAAAwAAAALAAAAAUBAAAHAAAA3wBCAA0BAAAHAAAAQQCVAwE5AAC4QAEAtgkAAJIJAAABAAAA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66555" y="52136040"/>
          <a:ext cx="1578610" cy="155575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oneCell">
    <xdr:from>
      <xdr:col>11</xdr:col>
      <xdr:colOff>350520</xdr:colOff>
      <xdr:row>246</xdr:row>
      <xdr:rowOff>63500</xdr:rowOff>
    </xdr:from>
    <xdr:to>
      <xdr:col>20</xdr:col>
      <xdr:colOff>576580</xdr:colOff>
      <xdr:row>260</xdr:row>
      <xdr:rowOff>156845</xdr:rowOff>
    </xdr:to>
    <xdr:graphicFrame macro="">
      <xdr:nvGraphicFramePr>
        <xdr:cNvPr id="32" name="Gráfico 20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7</xdr:col>
      <xdr:colOff>9525</xdr:colOff>
      <xdr:row>114</xdr:row>
      <xdr:rowOff>114300</xdr:rowOff>
    </xdr:from>
    <xdr:to>
      <xdr:col>20</xdr:col>
      <xdr:colOff>213995</xdr:colOff>
      <xdr:row>134</xdr:row>
      <xdr:rowOff>154305</xdr:rowOff>
    </xdr:to>
    <xdr:graphicFrame macro="">
      <xdr:nvGraphicFramePr>
        <xdr:cNvPr id="31" name="Gráfico 23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oneCell">
    <xdr:from>
      <xdr:col>1</xdr:col>
      <xdr:colOff>894080</xdr:colOff>
      <xdr:row>283</xdr:row>
      <xdr:rowOff>5715</xdr:rowOff>
    </xdr:from>
    <xdr:to>
      <xdr:col>6</xdr:col>
      <xdr:colOff>411480</xdr:colOff>
      <xdr:row>297</xdr:row>
      <xdr:rowOff>69850</xdr:rowOff>
    </xdr:to>
    <xdr:graphicFrame macro="">
      <xdr:nvGraphicFramePr>
        <xdr:cNvPr id="30" name="Gráfico 42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oneCell">
    <xdr:from>
      <xdr:col>9</xdr:col>
      <xdr:colOff>243205</xdr:colOff>
      <xdr:row>283</xdr:row>
      <xdr:rowOff>17145</xdr:rowOff>
    </xdr:from>
    <xdr:to>
      <xdr:col>16</xdr:col>
      <xdr:colOff>401955</xdr:colOff>
      <xdr:row>297</xdr:row>
      <xdr:rowOff>81280</xdr:rowOff>
    </xdr:to>
    <xdr:graphicFrame macro="">
      <xdr:nvGraphicFramePr>
        <xdr:cNvPr id="29" name="Gráfico 43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 editAs="oneCell">
    <xdr:from>
      <xdr:col>1</xdr:col>
      <xdr:colOff>840740</xdr:colOff>
      <xdr:row>304</xdr:row>
      <xdr:rowOff>1270</xdr:rowOff>
    </xdr:from>
    <xdr:to>
      <xdr:col>6</xdr:col>
      <xdr:colOff>356870</xdr:colOff>
      <xdr:row>318</xdr:row>
      <xdr:rowOff>92075</xdr:rowOff>
    </xdr:to>
    <xdr:graphicFrame macro="">
      <xdr:nvGraphicFramePr>
        <xdr:cNvPr id="28" name="Gráfico 44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9</xdr:col>
      <xdr:colOff>348615</xdr:colOff>
      <xdr:row>304</xdr:row>
      <xdr:rowOff>8890</xdr:rowOff>
    </xdr:from>
    <xdr:to>
      <xdr:col>16</xdr:col>
      <xdr:colOff>506730</xdr:colOff>
      <xdr:row>318</xdr:row>
      <xdr:rowOff>102235</xdr:rowOff>
    </xdr:to>
    <xdr:graphicFrame macro="">
      <xdr:nvGraphicFramePr>
        <xdr:cNvPr id="27" name="Gráfico 45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 editAs="oneCell">
    <xdr:from>
      <xdr:col>1</xdr:col>
      <xdr:colOff>847725</xdr:colOff>
      <xdr:row>326</xdr:row>
      <xdr:rowOff>33020</xdr:rowOff>
    </xdr:from>
    <xdr:to>
      <xdr:col>6</xdr:col>
      <xdr:colOff>365125</xdr:colOff>
      <xdr:row>340</xdr:row>
      <xdr:rowOff>126365</xdr:rowOff>
    </xdr:to>
    <xdr:graphicFrame macro="">
      <xdr:nvGraphicFramePr>
        <xdr:cNvPr id="26" name="Gráfico 46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 editAs="oneCell">
    <xdr:from>
      <xdr:col>9</xdr:col>
      <xdr:colOff>372745</xdr:colOff>
      <xdr:row>326</xdr:row>
      <xdr:rowOff>54610</xdr:rowOff>
    </xdr:from>
    <xdr:to>
      <xdr:col>16</xdr:col>
      <xdr:colOff>530225</xdr:colOff>
      <xdr:row>340</xdr:row>
      <xdr:rowOff>147955</xdr:rowOff>
    </xdr:to>
    <xdr:graphicFrame macro="">
      <xdr:nvGraphicFramePr>
        <xdr:cNvPr id="25" name="Gráfico 47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 editAs="oneCell">
    <xdr:from>
      <xdr:col>0</xdr:col>
      <xdr:colOff>0</xdr:colOff>
      <xdr:row>3</xdr:row>
      <xdr:rowOff>0</xdr:rowOff>
    </xdr:from>
    <xdr:to>
      <xdr:col>7</xdr:col>
      <xdr:colOff>951865</xdr:colOff>
      <xdr:row>49</xdr:row>
      <xdr:rowOff>57150</xdr:rowOff>
    </xdr:to>
    <xdr:sp macro="" textlink="" fLocksText="0">
      <xdr:nvSpPr>
        <xdr:cNvPr id="24" name="CustomShape 1" hidden="1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extLst>
            <a:ext uri="smNativeData">
              <pm:smNativeData xmlns="" xmlns:pm="smNativeData" val="SMDATA_11_iPrUYBMAAAAlAAAAZAAAAIwAAAAAkAAAAEgAAACQAAAASAAAAAAAAAAAAAAAAAAAAAEAAABQAAAAAAAAAAAA4D8AAAAAAADgPwAAAAAAAOA/AAAAAAAA4D8AAAAAAADgPwAAAAAAAOA/AAAAAAAA4D8AAAAAAADgPwAAAAAAAOA/AAAAAAAA4D8CAAAAjAAAAAE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EEAQQAMAAAAEAAAAAAAAAAAAAAAAAAAAAAAAAAeAAAAaAAAAAAAAAAAAAAAAAAAAAAAAAAAAAAAECcAABAnAAAAAAAAAAAAAAAAAAAAAAAAAAAAAAAAAAAAAAAAAAAAABQAAAAAAAAAwMD/AAAAAABkAAAAMgAAAAAAAABkAAAAAAAAAH9/fwAKAAAAIQAAADAAAAAsAAAAAwAAAAAAAAAAAAAAMQAAAAcAAAAbAQECAAAAAJwDAAAbPgAA9zkAAAEAAAA="/>
            </a:ext>
          </a:extLst>
        </xdr:cNvSpPr>
      </xdr:nvSpPr>
      <xdr:spPr>
        <a:xfrm>
          <a:off x="0" y="586740"/>
          <a:ext cx="10095865" cy="9422765"/>
        </a:xfrm>
        <a:prstGeom prst="rect">
          <a:avLst/>
        </a:prstGeom>
        <a:solidFill>
          <a:srgbClr val="FFFFFF"/>
        </a:solidFill>
        <a:ln w="12700" cap="flat">
          <a:noFill/>
          <a:prstDash val="solid"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7</xdr:col>
      <xdr:colOff>953770</xdr:colOff>
      <xdr:row>49</xdr:row>
      <xdr:rowOff>57785</xdr:rowOff>
    </xdr:to>
    <xdr:sp macro="" textlink="" fLocksText="0">
      <xdr:nvSpPr>
        <xdr:cNvPr id="23" name="CustomShape 1" hidden="1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extLst>
            <a:ext uri="smNativeData">
              <pm:smNativeData xmlns="" xmlns:pm="smNativeData" val="SMDATA_11_iPrUYBMAAAAlAAAAZAAAAIwAAAAAkAAAAEgAAACQAAAASAAAAAAAAAAAAAAAAAAAAAEAAABQAAAAAAAAAAAA4D8AAAAAAADgPwAAAAAAAOA/AAAAAAAA4D8AAAAAAADgPwAAAAAAAOA/AAAAAAAA4D8AAAAAAADgPwAAAAAAAOA/AAAAAAAA4D8CAAAAjAAAAAE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BAAAAMAAAAEAAAAAAAAAAAAAAAAAAAAAAAAAAeAAAAaAAAAAAAAAAAAAAAAAAAAAAAAAAAAAAAECcAABAnAAAAAAAAAAAAAAAAAAAAAAAAAAAAAAAAAAAAAAAAAAAAABQAAAAAAAAAwMD/AAAAAABkAAAAMgAAAAAAAABkAAAAAAAAAH9/fwAKAAAAIQAAADAAAAAsAAAAAwAAAAAAAAAAAAAAMQAAAAcAAAAeAQICAAAAAJwDAAAePgAA+DkAAAEAAAA="/>
            </a:ext>
          </a:extLst>
        </xdr:cNvSpPr>
      </xdr:nvSpPr>
      <xdr:spPr>
        <a:xfrm>
          <a:off x="0" y="586740"/>
          <a:ext cx="10097770" cy="9423400"/>
        </a:xfrm>
        <a:prstGeom prst="rect">
          <a:avLst/>
        </a:prstGeom>
        <a:solidFill>
          <a:srgbClr val="FFFFFF"/>
        </a:solidFill>
        <a:ln w="12700" cap="flat">
          <a:noFill/>
          <a:prstDash val="solid"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7</xdr:col>
      <xdr:colOff>953770</xdr:colOff>
      <xdr:row>49</xdr:row>
      <xdr:rowOff>57785</xdr:rowOff>
    </xdr:to>
    <xdr:sp macro="" textlink="" fLocksText="0">
      <xdr:nvSpPr>
        <xdr:cNvPr id="22" name="CustomShape 1" hidden="1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extLst>
            <a:ext uri="smNativeData">
              <pm:smNativeData xmlns="" xmlns:pm="smNativeData" val="SMDATA_11_iPrUYBMAAAAlAAAAZAAAAIwAAAAAkAAAAEgAAACQAAAASAAAAAAAAAAAAAAAAAAAAAEAAABQAAAAAAAAAAAA4D8AAAAAAADgPwAAAAAAAOA/AAAAAAAA4D8AAAAAAADgPwAAAAAAAOA/AAAAAAAA4D8AAAAAAADgPwAAAAAAAOA/AAAAAAAA4D8CAAAAjAAAAAE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EEAQQAMAAAAEAAAAAAAAAAAAAAAAAAAAAAAAAAeAAAAaAAAAAAAAAAAAAAAAAAAAAAAAAAAAAAAECcAABAnAAAAAAAAAAAAAAAAAAAAAAAAAAAAAAAAAAAAAAAAAAAAABQAAAAAAAAAwMD/AAAAAABkAAAAMgAAAAAAAABkAAAAAAAAAH9/fwAKAAAAIQAAADAAAAAsAAAAAwAAAAAAAAAAAAAAMQAAAAcAAAAeAQICAAAAAJwDAAAePgAA+DkAAAEAAAA="/>
            </a:ext>
          </a:extLst>
        </xdr:cNvSpPr>
      </xdr:nvSpPr>
      <xdr:spPr>
        <a:xfrm>
          <a:off x="0" y="586740"/>
          <a:ext cx="10097770" cy="9423400"/>
        </a:xfrm>
        <a:prstGeom prst="rect">
          <a:avLst/>
        </a:prstGeom>
        <a:solidFill>
          <a:srgbClr val="FFFFFF"/>
        </a:solidFill>
        <a:ln w="12700" cap="flat">
          <a:noFill/>
          <a:prstDash val="solid"/>
          <a:headEnd type="none" w="med" len="med"/>
          <a:tailEnd type="none" w="med" len="med"/>
        </a:ln>
        <a:effectLst/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9</xdr:col>
      <xdr:colOff>245110</xdr:colOff>
      <xdr:row>53</xdr:row>
      <xdr:rowOff>120015</xdr:rowOff>
    </xdr:to>
    <xdr:sp macro="" textlink="" fLocksText="0">
      <xdr:nvSpPr>
        <xdr:cNvPr id="21" name="CustomShape 1" hidden="1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extLst>
            <a:ext uri="smNativeData">
              <pm:smNativeData xmlns="" xmlns:pm="smNativeData" val="SMDATA_11_iPrUYBMAAAAlAAAAZAAAAIwAAAAAkAAAAEgAAACQAAAASAAAAAAAAAAAAAAAAAAAAAEAAABQAAAAAAAAAAAA4D8AAAAAAADgPwAAAAAAAOA/AAAAAAAA4D8AAAAAAADgPwAAAAAAAOA/AAAAAAAA4D8AAAAAAADgPwAAAAAAAOA/AAAAAAAA4D8CAAAAjAAAAAE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EEAQQAMAAAAEAAAAAAAAAAAAAAAAAAAAAAAAAAeAAAAaAAAAAAAAAAAAAAAAAAAAAAAAAAAAAAAECcAABAnAAAAAAAAAAAAAAAAAAAAAAAAAAAAAAAAAAAAAAAAAAAAABQAAAAAAAAAwMD/AAAAAABkAAAAMgAAAAAAAABkAAAAAAAAAH9/fwAKAAAAIQAAADAAAAAsAAAAAwAAAAAAAAAAAAAANQAAAAkAAABoAoQAAAAAAJwDAABSSgAART8AAAAAAAA="/>
            </a:ext>
          </a:extLst>
        </xdr:cNvSpPr>
      </xdr:nvSpPr>
      <xdr:spPr>
        <a:xfrm>
          <a:off x="0" y="586740"/>
          <a:ext cx="12081510" cy="10285095"/>
        </a:xfrm>
        <a:prstGeom prst="rect">
          <a:avLst/>
        </a:prstGeom>
        <a:solidFill>
          <a:srgbClr val="FFFFFF"/>
        </a:solidFill>
        <a:ln w="12700" cap="flat">
          <a:noFill/>
          <a:prstDash val="solid"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1</xdr:col>
      <xdr:colOff>480060</xdr:colOff>
      <xdr:row>9</xdr:row>
      <xdr:rowOff>15240</xdr:rowOff>
    </xdr:from>
    <xdr:to>
      <xdr:col>9</xdr:col>
      <xdr:colOff>543560</xdr:colOff>
      <xdr:row>23</xdr:row>
      <xdr:rowOff>109220</xdr:rowOff>
    </xdr:to>
    <xdr:graphicFrame macro="">
      <xdr:nvGraphicFramePr>
        <xdr:cNvPr id="20" name="Gráfico 2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142875</xdr:colOff>
      <xdr:row>1</xdr:row>
      <xdr:rowOff>0</xdr:rowOff>
    </xdr:from>
    <xdr:to>
      <xdr:col>7</xdr:col>
      <xdr:colOff>1720215</xdr:colOff>
      <xdr:row>2</xdr:row>
      <xdr:rowOff>151765</xdr:rowOff>
    </xdr:to>
    <xdr:sp macro="" textlink="" fLocksText="0">
      <xdr:nvSpPr>
        <xdr:cNvPr id="19" name="CustomShape 1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extLst>
            <a:ext uri="smNativeData">
              <pm:smNativeData xmlns="" xmlns:pm="smNativeData" val="SMDATA_11_iPrUYBMAAAAlAAAArgAAAI0AAAAAjgAAAEcAAACOAAAARwAAAAAAAAABAAAAAAAAAAEAAABQAAAA+FBE7Xh+hj8AAAAAAADgPwAAAAAAAOA/AAAAAAAA4D8AAAAAAADgPwAAAAAAAOA/AAAAAAAA4D8AAAAAAADgPwAAAAAAAOA/AAAAAAAA4D8CAAAAjAAAAAEAAAAAAAAA/uMAAAAAAAAZ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AAAAAAAAAAAEAAAAAAAAAPAAAACoAAAAqAAAAZAAAAGQAAAAAAAAAy8vLADwAAAAqAAAAKgAAAGQAAABkAAAAAAAAABcAAAAUAAAAAAAAAAAAAAD/fwAA/38AAAAAAAAJAAAABAAAAEEAQQAMAAAAEAAAAAAAAAAAAAAAAAAAAAAAAAAeAAAAaAAAAAAAAAAAAAAAAAAAAAAAAAAAAAAAECcAABAnAAAAAAAAAAAAAAAAAAAAAAAAAAAAAAAAAAAAAAAAAAAAAFAAAAAAAAAAwMD/AAAAAABkAAAAMgAAAAAAAABkAAAAAAAAAH9/fwAKAAAAIQAAADAAAAAsAAAAAQAAAAAAAAAAAIQDAgAAAAcAAAAbA58D4QAAADQBAAD0QQAAIwIAAAAAAAA="/>
            </a:ext>
          </a:extLst>
        </xdr:cNvSpPr>
      </xdr:nvSpPr>
      <xdr:spPr>
        <a:xfrm>
          <a:off x="142875" y="195580"/>
          <a:ext cx="10721340" cy="347345"/>
        </a:xfrm>
        <a:prstGeom prst="round1Rect">
          <a:avLst>
            <a:gd name="adj" fmla="val 16951"/>
          </a:avLst>
        </a:prstGeom>
        <a:solidFill>
          <a:srgbClr val="FEE300">
            <a:alpha val="75000"/>
          </a:srgbClr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2700000" algn="tl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ctr" upright="1"/>
        <a:lstStyle/>
        <a:p>
          <a:pPr algn="l" defTabSz="360045" rtl="0">
            <a:defRPr sz="1000"/>
          </a:pPr>
          <a:r>
            <a:rPr lang="pt-BR" sz="1600" b="1" i="0" u="none" strike="noStrike" kern="100" baseline="0">
              <a:solidFill>
                <a:srgbClr val="0F4098"/>
              </a:solidFill>
              <a:latin typeface="Verdana" pitchFamily="2" charset="0"/>
              <a:ea typeface="Verdana" pitchFamily="2" charset="0"/>
              <a:cs typeface="Arial" pitchFamily="2" charset="0"/>
            </a:rPr>
            <a:t>INDICADORES | 2021</a:t>
          </a:r>
        </a:p>
      </xdr:txBody>
    </xdr:sp>
    <xdr:clientData/>
  </xdr:twoCellAnchor>
  <xdr:twoCellAnchor>
    <xdr:from>
      <xdr:col>1</xdr:col>
      <xdr:colOff>232410</xdr:colOff>
      <xdr:row>5</xdr:row>
      <xdr:rowOff>52705</xdr:rowOff>
    </xdr:from>
    <xdr:to>
      <xdr:col>3</xdr:col>
      <xdr:colOff>662305</xdr:colOff>
      <xdr:row>7</xdr:row>
      <xdr:rowOff>7620</xdr:rowOff>
    </xdr:to>
    <xdr:sp macro="" textlink="" fLocksText="0">
      <xdr:nvSpPr>
        <xdr:cNvPr id="18" name="CustomShape 1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BAAAAAAAAAAEAAABQAAAALa+pG3Tamz8AAAAAAAAAAAAAAAAAAOA/AAAAAAAA4D8AAAAAAADgPwAAAAAAAOA/AAAAAAAA4D8AAAAAAADgPwAAAAAAAOA/AAAAAAAA4D8CAAAAjAAAAAEAAAAAAAAA8vLy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AAAAAAMAAAAEAAAAAAAAAAAAAAAAAAAAAAAAAAeAAAAaAAAAAAAAAAAAAAAAAAAAAAAAAAAAAAAECcAABAnAAAAAAAAAAAAAAAAAAAAAAAAAAAAAAAAAAAAAAAAAAAAAFAAAAAAAAAAwMD/AAAAAABkAAAAMgAAAAAAAABkAAAAAAAAAH9/fwAKAAAAIQAAADAAAAAsAAAABQAAAAEAAAAFAWkABwAAAAMAAAAnAGUBbgIAAIwGAADFGAAASAIAAAAAAAA="/>
            </a:ext>
          </a:extLst>
        </xdr:cNvSpPr>
      </xdr:nvSpPr>
      <xdr:spPr>
        <a:xfrm>
          <a:off x="394970" y="1064260"/>
          <a:ext cx="4026535" cy="370840"/>
        </a:xfrm>
        <a:prstGeom prst="round2DiagRect">
          <a:avLst>
            <a:gd name="adj1" fmla="val 14767"/>
            <a:gd name="adj2" fmla="val 0"/>
          </a:avLst>
        </a:prstGeom>
        <a:solidFill>
          <a:srgbClr val="F2F2F2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ctr" upright="1"/>
        <a:lstStyle/>
        <a:p>
          <a:pPr algn="l" defTabSz="360045" rtl="0">
            <a:defRPr sz="1000"/>
          </a:pPr>
          <a:r>
            <a:rPr lang="pt-BR" sz="10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P</a:t>
          </a:r>
          <a:r>
            <a:rPr lang="pt-BR" sz="10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rodutividade </a:t>
          </a:r>
          <a:r>
            <a:rPr lang="pt-BR" sz="10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| </a:t>
          </a:r>
          <a:r>
            <a:rPr lang="pt-BR" sz="10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2017 a 2021</a:t>
          </a:r>
        </a:p>
      </xdr:txBody>
    </xdr:sp>
    <xdr:clientData/>
  </xdr:twoCellAnchor>
  <xdr:twoCellAnchor>
    <xdr:from>
      <xdr:col>1</xdr:col>
      <xdr:colOff>236855</xdr:colOff>
      <xdr:row>27</xdr:row>
      <xdr:rowOff>57150</xdr:rowOff>
    </xdr:from>
    <xdr:to>
      <xdr:col>3</xdr:col>
      <xdr:colOff>666115</xdr:colOff>
      <xdr:row>29</xdr:row>
      <xdr:rowOff>12700</xdr:rowOff>
    </xdr:to>
    <xdr:sp macro="" textlink="" fLocksText="0">
      <xdr:nvSpPr>
        <xdr:cNvPr id="17" name="CustomShape 1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BAAAAAAAAAAEAAABQAAAAfNlLbln+mz8AAAAAAAAAAAAAAAAAAOA/AAAAAAAA4D8AAAAAAADgPwAAAAAAAOA/AAAAAAAA4D8AAAAAAADgPwAAAAAAAOA/AAAAAAAA4D8CAAAAjAAAAAEAAAAAAAAA8vLy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ABAAAAMAAAAEAAAAAAAAAAAAAAAAAAAAAAAAAAeAAAAaAAAAAAAAAAAAAAAAAAAAAAAAAAAAAAAECcAABAnAAAAAAAAAAAAAAAAAAAAAAAAAAAAAAAAAAAAAAAAAAAAAFAAAAAAAAAAwMD/AAAAAABkAAAAMgAAAAAAAABkAAAAAAAAAH9/fwAKAAAAIQAAADAAAAAsAAAAGwAAAAEAAAAbAWsAHQAAAAMAAABCAGcBdQIAALQiAADEGAAARgIAAAAAAAA="/>
            </a:ext>
          </a:extLst>
        </xdr:cNvSpPr>
      </xdr:nvSpPr>
      <xdr:spPr>
        <a:xfrm>
          <a:off x="399415" y="5641340"/>
          <a:ext cx="4025900" cy="369570"/>
        </a:xfrm>
        <a:prstGeom prst="round2DiagRect">
          <a:avLst>
            <a:gd name="adj1" fmla="val 14890"/>
            <a:gd name="adj2" fmla="val 0"/>
          </a:avLst>
        </a:prstGeom>
        <a:solidFill>
          <a:srgbClr val="F2F2F2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ctr" upright="1"/>
        <a:lstStyle/>
        <a:p>
          <a:pPr algn="l" defTabSz="360045" rtl="0">
            <a:defRPr sz="1000"/>
          </a:pPr>
          <a:r>
            <a:rPr lang="pt-BR" sz="10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S</a:t>
          </a:r>
          <a:r>
            <a:rPr lang="pt-BR" sz="10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tatus dos certames finalizados </a:t>
          </a:r>
          <a:r>
            <a:rPr lang="pt-BR" sz="10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| </a:t>
          </a:r>
          <a:r>
            <a:rPr lang="pt-BR" sz="10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2021</a:t>
          </a:r>
        </a:p>
      </xdr:txBody>
    </xdr:sp>
    <xdr:clientData/>
  </xdr:twoCellAnchor>
  <xdr:twoCellAnchor>
    <xdr:from>
      <xdr:col>1</xdr:col>
      <xdr:colOff>236855</xdr:colOff>
      <xdr:row>48</xdr:row>
      <xdr:rowOff>57150</xdr:rowOff>
    </xdr:from>
    <xdr:to>
      <xdr:col>3</xdr:col>
      <xdr:colOff>666115</xdr:colOff>
      <xdr:row>50</xdr:row>
      <xdr:rowOff>12700</xdr:rowOff>
    </xdr:to>
    <xdr:sp macro="" textlink="" fLocksText="0">
      <xdr:nvSpPr>
        <xdr:cNvPr id="16" name="CustomShape 1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BAAAAAAAAAAEAAABQAAAAfNlLbln+mz8AAAAAAAAAAAAAAAAAAOA/AAAAAAAA4D8AAAAAAADgPwAAAAAAAOA/AAAAAAAA4D8AAAAAAADgPwAAAAAAAOA/AAAAAAAA4D8CAAAAjAAAAAEAAAAAAAAA8vLy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ABAAAAMAAAAEAAAAAAAAAAAAAAAAAAAAAAAAAAeAAAAaAAAAAAAAAAAAAAAAAAAAAAAAAAAAAAAECcAABAnAAAAAAAAAAAAAAAAAAAAAAAAAAAAAAAAAAAAAAAAAAAAAFAAAAAAAAAAwMD/AAAAAABkAAAAMgAAAAAAAABkAAAAAAAAAH9/fwAKAAAAIQAAADAAAAAsAAAAMAAAAAEAAAAbAWsAMgAAAAMAAABCAGcBdQIAAE08AADEGAAARgIAAAAAAAA="/>
            </a:ext>
          </a:extLst>
        </xdr:cNvSpPr>
      </xdr:nvSpPr>
      <xdr:spPr>
        <a:xfrm>
          <a:off x="399415" y="9802495"/>
          <a:ext cx="4025900" cy="369570"/>
        </a:xfrm>
        <a:prstGeom prst="round2DiagRect">
          <a:avLst>
            <a:gd name="adj1" fmla="val 14890"/>
            <a:gd name="adj2" fmla="val 0"/>
          </a:avLst>
        </a:prstGeom>
        <a:solidFill>
          <a:srgbClr val="F2F2F2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ctr" upright="1"/>
        <a:lstStyle/>
        <a:p>
          <a:pPr algn="l" defTabSz="360045" rtl="0">
            <a:defRPr sz="1000"/>
          </a:pPr>
          <a:r>
            <a:rPr lang="pt-BR" sz="10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M</a:t>
          </a:r>
          <a:r>
            <a:rPr lang="pt-BR" sz="10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odalidades </a:t>
          </a:r>
          <a:r>
            <a:rPr lang="pt-BR" sz="10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| </a:t>
          </a:r>
          <a:r>
            <a:rPr lang="pt-BR" sz="10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2021</a:t>
          </a:r>
        </a:p>
      </xdr:txBody>
    </xdr:sp>
    <xdr:clientData/>
  </xdr:twoCellAnchor>
  <xdr:twoCellAnchor>
    <xdr:from>
      <xdr:col>1</xdr:col>
      <xdr:colOff>236855</xdr:colOff>
      <xdr:row>69</xdr:row>
      <xdr:rowOff>57150</xdr:rowOff>
    </xdr:from>
    <xdr:to>
      <xdr:col>3</xdr:col>
      <xdr:colOff>666115</xdr:colOff>
      <xdr:row>71</xdr:row>
      <xdr:rowOff>12700</xdr:rowOff>
    </xdr:to>
    <xdr:sp macro="" textlink="" fLocksText="0">
      <xdr:nvSpPr>
        <xdr:cNvPr id="15" name="CustomShape 1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BAAAAAAAAAAEAAABQAAAAfNlLbln+mz8AAAAAAAAAAAAAAAAAAOA/AAAAAAAA4D8AAAAAAADgPwAAAAAAAOA/AAAAAAAA4D8AAAAAAADgPwAAAAAAAOA/AAAAAAAA4D8CAAAAjAAAAAEAAAAAAAAA8vLy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EEAQQAMAAAAEAAAAAAAAAAAAAAAAAAAAAAAAAAeAAAAaAAAAAAAAAAAAAAAAAAAAAAAAAAAAAAAECcAABAnAAAAAAAAAAAAAAAAAAAAAAAAAAAAAAAAAAAAAAAAAAAAAFAAAAAAAAAAwMD/AAAAAABkAAAAMgAAAAAAAABkAAAAAAAAAH9/fwAKAAAAIQAAADAAAAAsAAAARQAAAAEAAAAbAWsARwAAAAMAAABCAGcBdQIAAAlWAADEGAAARgIAAAAAAAA="/>
            </a:ext>
          </a:extLst>
        </xdr:cNvSpPr>
      </xdr:nvSpPr>
      <xdr:spPr>
        <a:xfrm>
          <a:off x="399415" y="13985875"/>
          <a:ext cx="4025900" cy="369570"/>
        </a:xfrm>
        <a:prstGeom prst="round2DiagRect">
          <a:avLst>
            <a:gd name="adj1" fmla="val 14890"/>
            <a:gd name="adj2" fmla="val 0"/>
          </a:avLst>
        </a:prstGeom>
        <a:solidFill>
          <a:srgbClr val="F2F2F2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ctr" upright="1"/>
        <a:lstStyle/>
        <a:p>
          <a:pPr algn="l" defTabSz="360045" rtl="0">
            <a:defRPr sz="1000"/>
          </a:pPr>
          <a:r>
            <a:rPr lang="pt-BR" sz="10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E</a:t>
          </a:r>
          <a:r>
            <a:rPr lang="pt-BR" sz="10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fetividade </a:t>
          </a:r>
          <a:r>
            <a:rPr lang="pt-BR" sz="10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| </a:t>
          </a:r>
          <a:r>
            <a:rPr lang="pt-BR" sz="10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2021</a:t>
          </a:r>
        </a:p>
      </xdr:txBody>
    </xdr:sp>
    <xdr:clientData/>
  </xdr:twoCellAnchor>
  <xdr:twoCellAnchor>
    <xdr:from>
      <xdr:col>1</xdr:col>
      <xdr:colOff>236855</xdr:colOff>
      <xdr:row>90</xdr:row>
      <xdr:rowOff>57150</xdr:rowOff>
    </xdr:from>
    <xdr:to>
      <xdr:col>3</xdr:col>
      <xdr:colOff>666115</xdr:colOff>
      <xdr:row>92</xdr:row>
      <xdr:rowOff>12700</xdr:rowOff>
    </xdr:to>
    <xdr:sp macro="" textlink="" fLocksText="0">
      <xdr:nvSpPr>
        <xdr:cNvPr id="14" name="CustomShape 1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BAAAAAAAAAAEAAABQAAAAnsYIQkDamz8AAAAAAAAAAAAAAAAAAOA/AAAAAAAA4D8AAAAAAADgPwAAAAAAAOA/AAAAAAAA4D8AAAAAAADgPwAAAAAAAOA/AAAAAAAA4D8CAAAAjAAAAAEAAAAAAAAA8vLy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EEAQQAMAAAAEAAAAAAAAAAAAAAAAAAAAAAAAAAeAAAAaAAAAAAAAAAAAAAAAAAAAAAAAAAAAAAAECcAABAnAAAAAAAAAAAAAAAAAAAAAAAAAAAAAAAAAAAAAAAAAAAAAFAAAAAAAAAAwMD/AAAAAABkAAAAMgAAAAAAAABkAAAAAAAAAH9/fwAKAAAAIQAAADAAAAAsAAAAWgAAAAEAAAAbAWsAXAAAAAMAAABBAGcBdQIAALNvAADEGAAASQIAAAAAAAA="/>
            </a:ext>
          </a:extLst>
        </xdr:cNvSpPr>
      </xdr:nvSpPr>
      <xdr:spPr>
        <a:xfrm>
          <a:off x="399415" y="18157825"/>
          <a:ext cx="4025900" cy="371475"/>
        </a:xfrm>
        <a:prstGeom prst="round2DiagRect">
          <a:avLst>
            <a:gd name="adj1" fmla="val 14739"/>
            <a:gd name="adj2" fmla="val 0"/>
          </a:avLst>
        </a:prstGeom>
        <a:solidFill>
          <a:srgbClr val="F2F2F2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ctr" upright="1"/>
        <a:lstStyle/>
        <a:p>
          <a:pPr algn="l" defTabSz="360045" rtl="0">
            <a:defRPr sz="1000"/>
          </a:pPr>
          <a:r>
            <a:rPr lang="pt-BR" sz="10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I</a:t>
          </a:r>
          <a:r>
            <a:rPr lang="pt-BR" sz="10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tens licitados e cancelados </a:t>
          </a:r>
          <a:r>
            <a:rPr lang="pt-BR" sz="10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| </a:t>
          </a:r>
          <a:r>
            <a:rPr lang="pt-BR" sz="10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2021</a:t>
          </a:r>
        </a:p>
      </xdr:txBody>
    </xdr:sp>
    <xdr:clientData/>
  </xdr:twoCellAnchor>
  <xdr:twoCellAnchor>
    <xdr:from>
      <xdr:col>1</xdr:col>
      <xdr:colOff>236855</xdr:colOff>
      <xdr:row>111</xdr:row>
      <xdr:rowOff>57150</xdr:rowOff>
    </xdr:from>
    <xdr:to>
      <xdr:col>3</xdr:col>
      <xdr:colOff>666115</xdr:colOff>
      <xdr:row>113</xdr:row>
      <xdr:rowOff>20320</xdr:rowOff>
    </xdr:to>
    <xdr:sp macro="" textlink="" fLocksText="0">
      <xdr:nvSpPr>
        <xdr:cNvPr id="13" name="CustomShape 1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BAAAAAAAAAAEAAABQAAAAS+VT1C61nD8AAAAAAAAAAAAAAAAAAOA/AAAAAAAA4D8AAAAAAADgPwAAAAAAAOA/AAAAAAAA4D8AAAAAAADgPwAAAAAAAOA/AAAAAAAA4D8CAAAAjAAAAAEAAAAAAAAA8vLy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EEAQQAMAAAAEAAAAAAAAAAAAAAAAAAAAAAAAAAeAAAAaAAAAAAAAAAAAAAAAAAAAAAAAAAAAAAAECcAABAnAAAAAAAAAAAAAAAAAAAAAAAAAAAAAAAAAAAAAAAAAAAAAFAAAAAAAAAAwMD/AAAAAABkAAAAMgAAAAAAAABkAAAAAAAAAH9/fwAKAAAAIQAAADAAAAAsAAAAbwAAAAEAAAAbAWsAcQAAAAMAAABwAGcBdQIAAJ2JAADEGAAAQwIAAAAAAAA="/>
            </a:ext>
          </a:extLst>
        </xdr:cNvSpPr>
      </xdr:nvSpPr>
      <xdr:spPr>
        <a:xfrm>
          <a:off x="399415" y="22370415"/>
          <a:ext cx="4025900" cy="367665"/>
        </a:xfrm>
        <a:prstGeom prst="round2DiagRect">
          <a:avLst>
            <a:gd name="adj1" fmla="val 15349"/>
            <a:gd name="adj2" fmla="val 0"/>
          </a:avLst>
        </a:prstGeom>
        <a:solidFill>
          <a:srgbClr val="F2F2F2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ctr" upright="1"/>
        <a:lstStyle/>
        <a:p>
          <a:pPr algn="l" defTabSz="360045" rtl="0">
            <a:defRPr sz="1000"/>
          </a:pPr>
          <a:r>
            <a:rPr lang="pt-BR" sz="10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E</a:t>
          </a:r>
          <a:r>
            <a:rPr lang="pt-BR" sz="10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conomicidade </a:t>
          </a:r>
          <a:r>
            <a:rPr lang="pt-BR" sz="10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| </a:t>
          </a:r>
          <a:r>
            <a:rPr lang="pt-BR" sz="10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2021</a:t>
          </a:r>
        </a:p>
      </xdr:txBody>
    </xdr:sp>
    <xdr:clientData/>
  </xdr:twoCellAnchor>
  <xdr:twoCellAnchor>
    <xdr:from>
      <xdr:col>1</xdr:col>
      <xdr:colOff>236855</xdr:colOff>
      <xdr:row>148</xdr:row>
      <xdr:rowOff>57150</xdr:rowOff>
    </xdr:from>
    <xdr:to>
      <xdr:col>3</xdr:col>
      <xdr:colOff>666115</xdr:colOff>
      <xdr:row>150</xdr:row>
      <xdr:rowOff>12700</xdr:rowOff>
    </xdr:to>
    <xdr:sp macro="" textlink="" fLocksText="0">
      <xdr:nvSpPr>
        <xdr:cNvPr id="12" name="CustomShape 1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BAAAAAAAAAAEAAABQAAAAfNlLbln+mz8AAAAAAAAAAAAAAAAAAOA/AAAAAAAA4D8AAAAAAADgPwAAAAAAAOA/AAAAAAAA4D8AAAAAAADgPwAAAAAAAOA/AAAAAAAA4D8CAAAAjAAAAAEAAAAAAAAA8vLy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ABAAAAMAAAAEAAAAAAAAAAAAAAAAAAAAAAAAAAeAAAAaAAAAAAAAAAAAAAAAAAAAAAAAAAAAAAAECcAABAnAAAAAAAAAAAAAAAAAAAAAAAAAAAAAAAAAAAAAAAAAAAAAFAAAAAAAAAAwMD/AAAAAABkAAAAMgAAAAAAAABkAAAAAAAAAH9/fwAKAAAAIQAAADAAAAAsAAAAlAAAAAEAAAAbAWsAlgAAAAMAAABCAGcBdQIAAEG2AADEGAAARgIAAAAAAAA="/>
            </a:ext>
          </a:extLst>
        </xdr:cNvSpPr>
      </xdr:nvSpPr>
      <xdr:spPr>
        <a:xfrm>
          <a:off x="399415" y="29627195"/>
          <a:ext cx="4025900" cy="369570"/>
        </a:xfrm>
        <a:prstGeom prst="round2DiagRect">
          <a:avLst>
            <a:gd name="adj1" fmla="val 14890"/>
            <a:gd name="adj2" fmla="val 0"/>
          </a:avLst>
        </a:prstGeom>
        <a:solidFill>
          <a:srgbClr val="F2F2F2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ctr" upright="1"/>
        <a:lstStyle/>
        <a:p>
          <a:pPr algn="l" defTabSz="360045" rtl="0">
            <a:defRPr sz="1000"/>
          </a:pPr>
          <a:r>
            <a:rPr lang="pt-BR" sz="10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T</a:t>
          </a:r>
          <a:r>
            <a:rPr lang="pt-BR" sz="10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empo de execução da fase externa </a:t>
          </a:r>
          <a:r>
            <a:rPr lang="pt-BR" sz="10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| </a:t>
          </a:r>
          <a:r>
            <a:rPr lang="pt-BR" sz="10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2021</a:t>
          </a:r>
        </a:p>
      </xdr:txBody>
    </xdr:sp>
    <xdr:clientData/>
  </xdr:twoCellAnchor>
  <xdr:twoCellAnchor>
    <xdr:from>
      <xdr:col>1</xdr:col>
      <xdr:colOff>236855</xdr:colOff>
      <xdr:row>170</xdr:row>
      <xdr:rowOff>57150</xdr:rowOff>
    </xdr:from>
    <xdr:to>
      <xdr:col>3</xdr:col>
      <xdr:colOff>666115</xdr:colOff>
      <xdr:row>172</xdr:row>
      <xdr:rowOff>12700</xdr:rowOff>
    </xdr:to>
    <xdr:sp macro="" textlink="" fLocksText="0">
      <xdr:nvSpPr>
        <xdr:cNvPr id="11" name="CustomShape 1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BAAAAAAAAAAEAAABQAAAAfNlLbln+mz8AAAAAAAAAAAAAAAAAAOA/AAAAAAAA4D8AAAAAAADgPwAAAAAAAOA/AAAAAAAA4D8AAAAAAADgPwAAAAAAAOA/AAAAAAAA4D8CAAAAjAAAAAEAAAAAAAAA8vLy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AAAAAAMAAAAEAAAAAAAAAAAAAAAAAAAAAAAAAAeAAAAaAAAAAAAAAAAAAAAAAAAAAAAAAAAAAAAECcAABAnAAAAAAAAAAAAAAAAAAAAAAAAAAAAAAAAAAAAAAAAAAAAAFAAAAAAAAAAwMD/AAAAAABkAAAAMgAAAAAAAABkAAAAAAAAAH9/fwAKAAAAIQAAADAAAAAsAAAAqgAAAAEAAAAbAWsArAAAAAMAAABCAGcBdQIAACvRAADEGAAARgIAAAAAAAA="/>
            </a:ext>
          </a:extLst>
        </xdr:cNvSpPr>
      </xdr:nvSpPr>
      <xdr:spPr>
        <a:xfrm>
          <a:off x="399415" y="34002345"/>
          <a:ext cx="4025900" cy="369570"/>
        </a:xfrm>
        <a:prstGeom prst="round2DiagRect">
          <a:avLst>
            <a:gd name="adj1" fmla="val 14890"/>
            <a:gd name="adj2" fmla="val 0"/>
          </a:avLst>
        </a:prstGeom>
        <a:solidFill>
          <a:srgbClr val="F2F2F2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ctr" upright="1"/>
        <a:lstStyle/>
        <a:p>
          <a:pPr algn="l" defTabSz="360045" rtl="0">
            <a:defRPr sz="1000"/>
          </a:pPr>
          <a:r>
            <a:rPr lang="pt-BR" sz="10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R</a:t>
          </a:r>
          <a:r>
            <a:rPr lang="pt-BR" sz="10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equerentes </a:t>
          </a:r>
          <a:r>
            <a:rPr lang="pt-BR" sz="10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| </a:t>
          </a:r>
          <a:r>
            <a:rPr lang="pt-BR" sz="10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2021</a:t>
          </a:r>
        </a:p>
      </xdr:txBody>
    </xdr:sp>
    <xdr:clientData/>
  </xdr:twoCellAnchor>
  <xdr:twoCellAnchor>
    <xdr:from>
      <xdr:col>1</xdr:col>
      <xdr:colOff>236855</xdr:colOff>
      <xdr:row>242</xdr:row>
      <xdr:rowOff>57150</xdr:rowOff>
    </xdr:from>
    <xdr:to>
      <xdr:col>3</xdr:col>
      <xdr:colOff>666115</xdr:colOff>
      <xdr:row>244</xdr:row>
      <xdr:rowOff>12700</xdr:rowOff>
    </xdr:to>
    <xdr:sp macro="" textlink="" fLocksText="0">
      <xdr:nvSpPr>
        <xdr:cNvPr id="10" name="CustomShape 1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BAAAAAAAAAAEAAABQAAAAfNlLbln+mz8AAAAAAAAAAAAAAAAAAOA/AAAAAAAA4D8AAAAAAADgPwAAAAAAAOA/AAAAAAAA4D8AAAAAAADgPwAAAAAAAOA/AAAAAAAA4D8CAAAAjAAAAAEAAAAAAAAA8vLy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AAAAAAMAAAAEAAAAAAAAAAAAAAAAAAAAAAAAAAeAAAAaAAAAAAAAAAAAAAAAAAAAAAAAAAAAAAAECcAABAnAAAAAAAAAAAAAAAAAAAAAAAAAAAAAAAAAAAAAAAAAAAAAFAAAAAAAAAAwMD/AAAAAABkAAAAMgAAAAAAAABkAAAAAAAAAH9/fwAKAAAAIQAAADAAAAAsAAAA8gAAAAEAAAAbAWsA9AAAAAMAAABCAGcBdQIAAJkpAQDEGAAARgIAAAAAAAA="/>
            </a:ext>
          </a:extLst>
        </xdr:cNvSpPr>
      </xdr:nvSpPr>
      <xdr:spPr>
        <a:xfrm>
          <a:off x="399415" y="48377475"/>
          <a:ext cx="4025900" cy="369570"/>
        </a:xfrm>
        <a:prstGeom prst="round2DiagRect">
          <a:avLst>
            <a:gd name="adj1" fmla="val 14890"/>
            <a:gd name="adj2" fmla="val 0"/>
          </a:avLst>
        </a:prstGeom>
        <a:solidFill>
          <a:srgbClr val="F2F2F2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ctr" upright="1"/>
        <a:lstStyle/>
        <a:p>
          <a:pPr algn="l" defTabSz="360045" rtl="0">
            <a:defRPr sz="1000"/>
          </a:pPr>
          <a:r>
            <a:rPr lang="pt-BR" sz="10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A</a:t>
          </a:r>
          <a:r>
            <a:rPr lang="pt-BR" sz="10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utuação dos responsáveis </a:t>
          </a:r>
          <a:r>
            <a:rPr lang="pt-BR" sz="10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| </a:t>
          </a:r>
          <a:r>
            <a:rPr lang="pt-BR" sz="10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2021</a:t>
          </a:r>
        </a:p>
      </xdr:txBody>
    </xdr:sp>
    <xdr:clientData/>
  </xdr:twoCellAnchor>
  <xdr:twoCellAnchor>
    <xdr:from>
      <xdr:col>1</xdr:col>
      <xdr:colOff>236855</xdr:colOff>
      <xdr:row>279</xdr:row>
      <xdr:rowOff>57150</xdr:rowOff>
    </xdr:from>
    <xdr:to>
      <xdr:col>3</xdr:col>
      <xdr:colOff>666115</xdr:colOff>
      <xdr:row>281</xdr:row>
      <xdr:rowOff>12700</xdr:rowOff>
    </xdr:to>
    <xdr:sp macro="" textlink="" fLocksText="0">
      <xdr:nvSpPr>
        <xdr:cNvPr id="9" name="CustomShape 1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BAAAAAAAAAAEAAABQAAAAfNlLbln+mz8AAAAAAAAAAAAAAAAAAOA/AAAAAAAA4D8AAAAAAADgPwAAAAAAAOA/AAAAAAAA4D8AAAAAAADgPwAAAAAAAOA/AAAAAAAA4D8CAAAAjAAAAAEAAAAAAAAA8vLy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AAAAAAMAAAAEAAAAAAAAAAAAAAAAAAAAAAAAAAeAAAAaAAAAAAAAAAAAAAAAAAAAAAAAAAAAAAAECcAABAnAAAAAAAAAAAAAAAAAAAAAAAAAAAAAAAAAAAAAAAAAAAAAFAAAAAAAAAAwMD/AAAAAABkAAAAMgAAAAAAAABkAAAAAAAAAH9/fwAKAAAAIQAAADAAAAAsAAAAFwEAAAEAAAAbAWsAGQEAAAMAAABCAGcBdQIAANFWAQDEGAAARgIAAAAAAAA="/>
            </a:ext>
          </a:extLst>
        </xdr:cNvSpPr>
      </xdr:nvSpPr>
      <xdr:spPr>
        <a:xfrm>
          <a:off x="399415" y="55728235"/>
          <a:ext cx="4025900" cy="369570"/>
        </a:xfrm>
        <a:prstGeom prst="round2DiagRect">
          <a:avLst>
            <a:gd name="adj1" fmla="val 14890"/>
            <a:gd name="adj2" fmla="val 0"/>
          </a:avLst>
        </a:prstGeom>
        <a:solidFill>
          <a:srgbClr val="F2F2F2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ctr" upright="1"/>
        <a:lstStyle/>
        <a:p>
          <a:pPr algn="l" defTabSz="360045" rtl="0">
            <a:defRPr sz="1000"/>
          </a:pPr>
          <a:r>
            <a:rPr lang="pt-BR" sz="10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C</a:t>
          </a:r>
          <a:r>
            <a:rPr lang="pt-BR" sz="10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ertames com demandas judiciais </a:t>
          </a:r>
          <a:r>
            <a:rPr lang="pt-BR" sz="10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| </a:t>
          </a:r>
          <a:r>
            <a:rPr lang="pt-BR" sz="10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2021</a:t>
          </a:r>
        </a:p>
      </xdr:txBody>
    </xdr:sp>
    <xdr:clientData/>
  </xdr:twoCellAnchor>
  <xdr:twoCellAnchor>
    <xdr:from>
      <xdr:col>1</xdr:col>
      <xdr:colOff>236855</xdr:colOff>
      <xdr:row>300</xdr:row>
      <xdr:rowOff>57150</xdr:rowOff>
    </xdr:from>
    <xdr:to>
      <xdr:col>3</xdr:col>
      <xdr:colOff>666115</xdr:colOff>
      <xdr:row>302</xdr:row>
      <xdr:rowOff>12700</xdr:rowOff>
    </xdr:to>
    <xdr:sp macro="" textlink="" fLocksText="0">
      <xdr:nvSpPr>
        <xdr:cNvPr id="8" name="CustomShape 1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BAAAAAAAAAAEAAABQAAAAfNlLbln+mz8AAAAAAAAAAAAAAAAAAOA/AAAAAAAA4D8AAAAAAADgPwAAAAAAAOA/AAAAAAAA4D8AAAAAAADgPwAAAAAAAOA/AAAAAAAA4D8CAAAAjAAAAAEAAAAAAAAA8vLy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AAAAAAMAAAAEAAAAAAAAAAAAAAAAAAAAAAAAAAeAAAAaAAAAAAAAAAAAAAAAAAAAAAAAAAAAAAAECcAABAnAAAAAAAAAAAAAAAAAAAAAAAAAAAAAAAAAAAAAAAAAAAAAFAAAAAAAAAAwMD/AAAAAABkAAAAMgAAAAAAAABkAAAAAAAAAH9/fwAKAAAAIQAAADAAAAAsAAAALAEAAAEAAAAbAWsALgEAAAMAAABCAGcBdQIAAI1wAQDEGAAARgIAAAAAAAA="/>
            </a:ext>
          </a:extLst>
        </xdr:cNvSpPr>
      </xdr:nvSpPr>
      <xdr:spPr>
        <a:xfrm>
          <a:off x="399415" y="59911615"/>
          <a:ext cx="4025900" cy="369570"/>
        </a:xfrm>
        <a:prstGeom prst="round2DiagRect">
          <a:avLst>
            <a:gd name="adj1" fmla="val 14890"/>
            <a:gd name="adj2" fmla="val 0"/>
          </a:avLst>
        </a:prstGeom>
        <a:solidFill>
          <a:srgbClr val="F2F2F2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ctr" upright="1"/>
        <a:lstStyle/>
        <a:p>
          <a:pPr algn="l" defTabSz="360045" rtl="0">
            <a:defRPr sz="1000"/>
          </a:pPr>
          <a:r>
            <a:rPr lang="pt-BR" sz="10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C</a:t>
          </a:r>
          <a:r>
            <a:rPr lang="pt-BR" sz="10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ertames impugnados </a:t>
          </a:r>
          <a:r>
            <a:rPr lang="pt-BR" sz="10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| </a:t>
          </a:r>
          <a:r>
            <a:rPr lang="pt-BR" sz="10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2021</a:t>
          </a:r>
        </a:p>
      </xdr:txBody>
    </xdr:sp>
    <xdr:clientData/>
  </xdr:twoCellAnchor>
  <xdr:twoCellAnchor>
    <xdr:from>
      <xdr:col>1</xdr:col>
      <xdr:colOff>236855</xdr:colOff>
      <xdr:row>322</xdr:row>
      <xdr:rowOff>57150</xdr:rowOff>
    </xdr:from>
    <xdr:to>
      <xdr:col>3</xdr:col>
      <xdr:colOff>666115</xdr:colOff>
      <xdr:row>324</xdr:row>
      <xdr:rowOff>12700</xdr:rowOff>
    </xdr:to>
    <xdr:sp macro="" textlink="" fLocksText="0">
      <xdr:nvSpPr>
        <xdr:cNvPr id="7" name="CustomShape 1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BAAAAAAAAAAEAAABQAAAAfNlLbln+mz8AAAAAAAAAAAAAAAAAAOA/AAAAAAAA4D8AAAAAAADgPwAAAAAAAOA/AAAAAAAA4D8AAAAAAADgPwAAAAAAAOA/AAAAAAAA4D8CAAAAjAAAAAEAAAAAAAAA8vLy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AAAAAAMAAAAEAAAAAAAAAAAAAAAAAAAAAAAAAAeAAAAaAAAAAAAAAAAAAAAAAAAAAAAAAAAAAAAECcAABAnAAAAAAAAAAAAAAAAAAAAAAAAAAAAAAAAAAAAAAAAAAAAAFAAAAAAAAAAwMD/AAAAAABkAAAAMgAAAAAAAABkAAAAAAAAAH9/fwAKAAAAIQAAADAAAAAsAAAAQgEAAAEAAAAbAWsARAEAAAMAAABCAGcBdQIAAK2LAQDEGAAARgIAAAAAAAA="/>
            </a:ext>
          </a:extLst>
        </xdr:cNvSpPr>
      </xdr:nvSpPr>
      <xdr:spPr>
        <a:xfrm>
          <a:off x="399415" y="64321055"/>
          <a:ext cx="4025900" cy="369570"/>
        </a:xfrm>
        <a:prstGeom prst="round2DiagRect">
          <a:avLst>
            <a:gd name="adj1" fmla="val 14890"/>
            <a:gd name="adj2" fmla="val 0"/>
          </a:avLst>
        </a:prstGeom>
        <a:solidFill>
          <a:srgbClr val="F2F2F2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ctr" upright="1"/>
        <a:lstStyle/>
        <a:p>
          <a:pPr algn="l" defTabSz="360045" rtl="0">
            <a:defRPr sz="1000"/>
          </a:pPr>
          <a:r>
            <a:rPr lang="pt-BR" sz="10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R</a:t>
          </a:r>
          <a:r>
            <a:rPr lang="pt-BR" sz="10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ecursos administrativos </a:t>
          </a:r>
          <a:r>
            <a:rPr lang="pt-BR" sz="10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| </a:t>
          </a:r>
          <a:r>
            <a:rPr lang="pt-BR" sz="1000" b="0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2021</a:t>
          </a:r>
        </a:p>
      </xdr:txBody>
    </xdr:sp>
    <xdr:clientData/>
  </xdr:twoCellAnchor>
  <xdr:twoCellAnchor>
    <xdr:from>
      <xdr:col>3</xdr:col>
      <xdr:colOff>0</xdr:colOff>
      <xdr:row>138</xdr:row>
      <xdr:rowOff>85725</xdr:rowOff>
    </xdr:from>
    <xdr:to>
      <xdr:col>4</xdr:col>
      <xdr:colOff>5715</xdr:colOff>
      <xdr:row>140</xdr:row>
      <xdr:rowOff>24130</xdr:rowOff>
    </xdr:to>
    <xdr:sp macro="" textlink="" fLocksText="0">
      <xdr:nvSpPr>
        <xdr:cNvPr id="6" name="CustomShape 1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BAAAAAAAAAAEAAABQAAAAAzGalTFjrz8AAAAAAAAAAAAAAAAAAOA/AAAAAAAA4D8AAAAAAADgPwAAAAAAAOA/AAAAAAAA4D8AAAAAAADgPwAAAAAAAOA/AAAAAAAA4D8CAAAAjAAAAAEAAAAAAAAA8vLy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AAAAAAMAAAAEAAAAAAAAAAAAAAAAAAAAAAAAAAeAAAAaAAAAAAAAAAAAAAAAAAAAAAAAAAAAAAAECcAABAnAAAAAAAAAAAAAAAAAAAAAAAAAAAAAAAAAAAAAAAAAAAAAFAAAAAAAAAAwMD/AAAAAABkAAAAMgAAAAAAAABkAAAAAAAAAH9/fwAKAAAAIQAAADAAAAAsAAAAigAAAAMAAACjAQAAjAAAAAQAAAB9AAcAIBcAAC6qAAC5CwAAHQIAAAAAAAA="/>
            </a:ext>
          </a:extLst>
        </xdr:cNvSpPr>
      </xdr:nvSpPr>
      <xdr:spPr>
        <a:xfrm>
          <a:off x="3759200" y="27664410"/>
          <a:ext cx="1905635" cy="343535"/>
        </a:xfrm>
        <a:prstGeom prst="round2DiagRect">
          <a:avLst>
            <a:gd name="adj1" fmla="val 17003"/>
            <a:gd name="adj2" fmla="val 0"/>
          </a:avLst>
        </a:prstGeom>
        <a:solidFill>
          <a:srgbClr val="F2F2F2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ctr" upright="1"/>
        <a:lstStyle/>
        <a:p>
          <a:pPr algn="ctr" defTabSz="360045" rtl="0">
            <a:defRPr sz="1000"/>
          </a:pPr>
          <a:r>
            <a:rPr lang="pt-BR" sz="10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2017</a:t>
          </a:r>
        </a:p>
      </xdr:txBody>
    </xdr:sp>
    <xdr:clientData/>
  </xdr:twoCellAnchor>
  <xdr:twoCellAnchor>
    <xdr:from>
      <xdr:col>5</xdr:col>
      <xdr:colOff>0</xdr:colOff>
      <xdr:row>138</xdr:row>
      <xdr:rowOff>76200</xdr:rowOff>
    </xdr:from>
    <xdr:to>
      <xdr:col>6</xdr:col>
      <xdr:colOff>24765</xdr:colOff>
      <xdr:row>140</xdr:row>
      <xdr:rowOff>14605</xdr:rowOff>
    </xdr:to>
    <xdr:sp macro="" textlink="" fLocksText="0">
      <xdr:nvSpPr>
        <xdr:cNvPr id="5" name="CustomShape 1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BAAAAAAAAAAEAAABQAAAAOP6bOEcSrz8AAAAAAAAAAAAAAAAAAOA/AAAAAAAA4D8AAAAAAADgPwAAAAAAAOA/AAAAAAAA4D8AAAAAAADgPwAAAAAAAOA/AAAAAAAA4D8CAAAAjAAAAAEAAAAAAAAA8vLy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AAAAAAMAAAAEAAAAAAAAAAAAAAAAAAAAAAAAAAeAAAAaAAAAAAAAAAAAAAAAAAAAAAAAAAAAAAAECcAABAnAAAAAAAAAAAAAAAAAAAAAAAAAAAAAAAAAAAAAAAAAAAAAFAAAAAAAAAAwMD/AAAAAABkAAAAMgAAAAAAAABkAAAAAAAAAH9/fwAKAAAAIQAAADAAAAAsAAAAigAAAAUAAAB0AQAAjAAAAAYAAABMACAAsCcAAB+qAADXCwAAHQIAAAAAAAA="/>
            </a:ext>
          </a:extLst>
        </xdr:cNvSpPr>
      </xdr:nvSpPr>
      <xdr:spPr>
        <a:xfrm>
          <a:off x="6451600" y="27654885"/>
          <a:ext cx="1924685" cy="343535"/>
        </a:xfrm>
        <a:prstGeom prst="round2DiagRect">
          <a:avLst>
            <a:gd name="adj1" fmla="val 17000"/>
            <a:gd name="adj2" fmla="val 0"/>
          </a:avLst>
        </a:prstGeom>
        <a:solidFill>
          <a:srgbClr val="F2F2F2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ctr" upright="1"/>
        <a:lstStyle/>
        <a:p>
          <a:pPr algn="ctr" defTabSz="360045" rtl="0">
            <a:defRPr sz="1000"/>
          </a:pPr>
          <a:r>
            <a:rPr lang="pt-BR" sz="10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2018</a:t>
          </a:r>
        </a:p>
      </xdr:txBody>
    </xdr:sp>
    <xdr:clientData/>
  </xdr:twoCellAnchor>
  <xdr:twoCellAnchor>
    <xdr:from>
      <xdr:col>7</xdr:col>
      <xdr:colOff>0</xdr:colOff>
      <xdr:row>138</xdr:row>
      <xdr:rowOff>76200</xdr:rowOff>
    </xdr:from>
    <xdr:to>
      <xdr:col>8</xdr:col>
      <xdr:colOff>24765</xdr:colOff>
      <xdr:row>140</xdr:row>
      <xdr:rowOff>14605</xdr:rowOff>
    </xdr:to>
    <xdr:sp macro="" textlink="" fLocksText="0">
      <xdr:nvSpPr>
        <xdr:cNvPr id="4" name="CustomShape 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BAAAAAAAAAAEAAABQAAAAOP6bOEcSrz8AAAAAAAAAAAAAAAAAAOA/AAAAAAAA4D8AAAAAAADgPwAAAAAAAOA/AAAAAAAA4D8AAAAAAADgPwAAAAAAAOA/AAAAAAAA4D8CAAAAjAAAAAEAAAAAAAAA8vLy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AAAAAAMAAAAEAAAAAAAAAAAAAAAAAAAAAAAAAAeAAAAaAAAAAAAAAAAAAAAAAAAAAAAAAAAAAAAECcAABAnAAAAAAAAAAAAAAAAAAAAAAAAAAAAAAAAAAAAAAAAAAAAAFAAAAAAAAAAwMD/AAAAAABkAAAAMgAAAAAAAABkAAAAAAAAAH9/fwAKAAAAIQAAADAAAAAsAAAAigAAAAcAAAB0AQAAjAAAAAgAAABMACAAQDgAAB+qAADXCwAAHQIAAAAAAAA="/>
            </a:ext>
          </a:extLst>
        </xdr:cNvSpPr>
      </xdr:nvSpPr>
      <xdr:spPr>
        <a:xfrm>
          <a:off x="9144000" y="27654885"/>
          <a:ext cx="1924685" cy="343535"/>
        </a:xfrm>
        <a:prstGeom prst="round2DiagRect">
          <a:avLst>
            <a:gd name="adj1" fmla="val 17000"/>
            <a:gd name="adj2" fmla="val 0"/>
          </a:avLst>
        </a:prstGeom>
        <a:solidFill>
          <a:srgbClr val="F2F2F2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ctr" upright="1"/>
        <a:lstStyle/>
        <a:p>
          <a:pPr algn="ctr" defTabSz="360045" rtl="0">
            <a:defRPr sz="1000"/>
          </a:pPr>
          <a:r>
            <a:rPr lang="pt-BR" sz="10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2019</a:t>
          </a:r>
        </a:p>
      </xdr:txBody>
    </xdr:sp>
    <xdr:clientData/>
  </xdr:twoCellAnchor>
  <xdr:twoCellAnchor>
    <xdr:from>
      <xdr:col>9</xdr:col>
      <xdr:colOff>9525</xdr:colOff>
      <xdr:row>138</xdr:row>
      <xdr:rowOff>66675</xdr:rowOff>
    </xdr:from>
    <xdr:to>
      <xdr:col>10</xdr:col>
      <xdr:colOff>5715</xdr:colOff>
      <xdr:row>140</xdr:row>
      <xdr:rowOff>5080</xdr:rowOff>
    </xdr:to>
    <xdr:sp macro="" textlink="" fLocksText="0">
      <xdr:nvSpPr>
        <xdr:cNvPr id="3" name="CustomShape 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BAAAAAAAAAAEAAABQAAAAIi7fGYeMrz8AAAAAAAAAAAAAAAAAAOA/AAAAAAAA4D8AAAAAAADgPwAAAAAAAOA/AAAAAAAA4D8AAAAAAADgPwAAAAAAAOA/AAAAAAAA4D8CAAAAjAAAAAEAAAAAAAAA8vLy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AAAAAAMAAAAEAAAAAAAAAAAAAAAAAAAAAAAAAAeAAAAaAAAAAAAAAAAAAAAAAAAAAAAAAAAAAAAECcAABAnAAAAAAAAAAAAAAAAAAAAAAAAAAAAAAAAAAAAAAAAAAAAAFAAAAAAAAAAwMD/AAAAAABkAAAAMgAAAAAAAABkAAAAAAAAAH9/fwAKAAAAIQAAADAAAAAsAAAAigAAAAkAAABGAQUAjAAAAAoAAAAaAAcA30gAABCqAACqCwAAHQIAAAAAAAA="/>
            </a:ext>
          </a:extLst>
        </xdr:cNvSpPr>
      </xdr:nvSpPr>
      <xdr:spPr>
        <a:xfrm>
          <a:off x="11845925" y="27645360"/>
          <a:ext cx="1896110" cy="343535"/>
        </a:xfrm>
        <a:prstGeom prst="round2DiagRect">
          <a:avLst>
            <a:gd name="adj1" fmla="val 17005"/>
            <a:gd name="adj2" fmla="val 0"/>
          </a:avLst>
        </a:prstGeom>
        <a:solidFill>
          <a:srgbClr val="F2F2F2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ctr" upright="1"/>
        <a:lstStyle/>
        <a:p>
          <a:pPr algn="ctr" defTabSz="360045" rtl="0">
            <a:defRPr sz="1000"/>
          </a:pPr>
          <a:r>
            <a:rPr lang="pt-BR" sz="10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2020</a:t>
          </a:r>
        </a:p>
      </xdr:txBody>
    </xdr:sp>
    <xdr:clientData/>
  </xdr:twoCellAnchor>
  <xdr:twoCellAnchor>
    <xdr:from>
      <xdr:col>11</xdr:col>
      <xdr:colOff>0</xdr:colOff>
      <xdr:row>138</xdr:row>
      <xdr:rowOff>66675</xdr:rowOff>
    </xdr:from>
    <xdr:to>
      <xdr:col>12</xdr:col>
      <xdr:colOff>5715</xdr:colOff>
      <xdr:row>140</xdr:row>
      <xdr:rowOff>5080</xdr:rowOff>
    </xdr:to>
    <xdr:sp macro="" textlink="" fLocksText="0">
      <xdr:nvSpPr>
        <xdr:cNvPr id="2" name="CustomShap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extLst>
            <a:ext uri="smNativeData">
              <pm:smNativeData xmlns="" xmlns:pm="smNativeData" val="SMDATA_11_iPrUYBMAAAAlAAAAsAAAAI0AAAAAjgAAAEcAAACOAAAARwAAAAAAAAABAAAAAAAAAAEAAABQAAAAW/viqk1hrz8AAAAAAAAAAAAAAAAAAOA/AAAAAAAA4D8AAAAAAADgPwAAAAAAAOA/AAAAAAAA4D8AAAAAAADgPwAAAAAAAOA/AAAAAAAA4D8CAAAAjAAAAAEAAAAAAAAA8vLy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QAAAAAAAAACAAAAAAAAAAEAAAAAAAAAPAAAANb///8qAAAAZAAAAGQAAAAAAAAAy8vLADwAAADW////KgAAAGQAAABkAAAAAAAAABcAAAAUAAAAAAAAAAAAAAD/fwAA/38AAAAAAAAJAAAABAAAAAAAAAAMAAAAEAAAAAAAAAAAAAAAAAAAAAAAAAAeAAAAaAAAAAAAAAAAAAAAAAAAAAAAAAAAAAAAECcAABAnAAAAAAAAAAAAAAAAAAAAAAAAAAAAAAAAAAAAAAAAAAAAAFAAAAAAAAAAwMD/AAAAAABkAAAAMgAAAAAAAABkAAAAAAAAAH9/fwAKAAAAIQAAADAAAAAsAAAAigAAAAsAAABGAQAAjAAAAAwAAAAaAAYAYFkAABCqAAC5CwAAHQIAAAAAAAA="/>
            </a:ext>
          </a:extLst>
        </xdr:cNvSpPr>
      </xdr:nvSpPr>
      <xdr:spPr>
        <a:xfrm>
          <a:off x="14528800" y="27645360"/>
          <a:ext cx="1905635" cy="343535"/>
        </a:xfrm>
        <a:prstGeom prst="round2DiagRect">
          <a:avLst>
            <a:gd name="adj1" fmla="val 16999"/>
            <a:gd name="adj2" fmla="val 0"/>
          </a:avLst>
        </a:prstGeom>
        <a:solidFill>
          <a:srgbClr val="F2F2F2"/>
        </a:solidFill>
        <a:ln w="12700" cap="flat">
          <a:noFill/>
          <a:prstDash val="solid"/>
          <a:headEnd type="none" w="med" len="med"/>
          <a:tailEnd type="none" w="med" len="med"/>
        </a:ln>
        <a:effectLst>
          <a:outerShdw blurRad="50800" dist="37717" dir="8100000" algn="tr">
            <a:srgbClr val="000000">
              <a:alpha val="40000"/>
            </a:srgbClr>
          </a:outerShdw>
        </a:effectLst>
      </xdr:spPr>
      <xdr:txBody>
        <a:bodyPr spcFirstLastPara="1" vertOverflow="clip" horzOverflow="clip" wrap="square" lIns="90170" tIns="45085" rIns="90170" bIns="45085" anchor="ctr" upright="1"/>
        <a:lstStyle/>
        <a:p>
          <a:pPr algn="ctr" defTabSz="360045" rtl="0">
            <a:defRPr sz="1000"/>
          </a:pPr>
          <a:r>
            <a:rPr lang="pt-BR" sz="1000" b="1" i="0" u="none" strike="noStrike" kern="100" baseline="0">
              <a:solidFill>
                <a:srgbClr val="000000"/>
              </a:solidFill>
              <a:latin typeface="Verdana" pitchFamily="2" charset="0"/>
              <a:ea typeface="Verdana" pitchFamily="2" charset="0"/>
              <a:cs typeface="Arial" pitchFamily="2" charset="0"/>
            </a:rPr>
            <a:t>2021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Date="0" createdVersion="4" refreshedVersion="4" minRefreshableVersion="3" recordCount="247">
  <cacheSource type="worksheet">
    <worksheetSource ref="C5:AN250" sheet="Processos"/>
  </cacheSource>
  <cacheFields count="38">
    <cacheField name="Processo" numFmtId="0">
      <sharedItems containsBlank="1" count="39">
        <s v="063626/2018-17"/>
        <s v="008802/2019-39"/>
        <s v="085080/2019-36"/>
        <s v="085844/2019-93"/>
        <s v="086201/2019-67"/>
        <s v="011286/2020-63"/>
        <s v="052140/2019-34"/>
        <s v="013379/2020-22"/>
        <s v="085023/2019-57"/>
        <s v="017194/2020-97"/>
        <s v="015054/2020-84"/>
        <s v="031910/2020-49"/>
        <s v="028493/2020-57"/>
        <s v="041189/2020-03"/>
        <s v="019235/2020-80"/>
        <s v="039280/2020-51"/>
        <s v="042222/2020-12"/>
        <s v="043568/2020-20"/>
        <s v="043864/2020-21"/>
        <s v="030870/2020-18"/>
        <s v="037421/2020-09"/>
        <s v="040329/2020-18"/>
        <s v="036609/2020-21"/>
        <s v="048208/2020-14"/>
        <s v="051088/2020-32"/>
        <s v="037424/2020-34"/>
        <s v="037405/2020-16"/>
        <s v="037389/2020-53"/>
        <s v="030890/2020-99"/>
        <s v="048955/2020-52"/>
        <s v="030877/2020-30"/>
        <s v="030885/2020-86"/>
        <s v="037410/2020-11"/>
        <s v="043411/2020-02"/>
        <s v="046274/2020-50"/>
        <s v="049980/2020-53"/>
        <s v="037419/2020-21"/>
        <s v="045875/2020-45"/>
        <m/>
      </sharedItems>
    </cacheField>
    <cacheField name="Modalidade" numFmtId="0">
      <sharedItems containsBlank="1" count="5">
        <s v="Pregão Elet. - Tradicional"/>
        <s v="Pregão Elet. Conc."/>
        <s v="Pregão Elet. - SRP"/>
        <s v="RDC"/>
        <m/>
      </sharedItems>
    </cacheField>
    <cacheField name="Tipo" numFmtId="0">
      <sharedItems containsBlank="1" count="5">
        <s v="TRAD"/>
        <s v="MO"/>
        <s v="SRP"/>
        <s v="MD"/>
        <m/>
      </sharedItems>
    </cacheField>
    <cacheField name="Edital" numFmtId="0">
      <sharedItems containsBlank="1" count="38">
        <s v="527/2018"/>
        <s v="253/2019"/>
        <s v="059/2020"/>
        <s v="066/2020"/>
        <s v="081/2020"/>
        <s v="092/2020"/>
        <s v="104/2020"/>
        <s v="112/2020"/>
        <s v="121/2020"/>
        <s v="144/2020"/>
        <s v="206/2020"/>
        <s v="241/2020"/>
        <s v="271/2020"/>
        <s v="007/2020"/>
        <s v="306/2020"/>
        <s v="308/2020"/>
        <s v="008/2020"/>
        <s v="009/2020"/>
        <s v="010/2020"/>
        <s v="326/2020"/>
        <s v="327/2020"/>
        <s v="328/2020"/>
        <s v="331/2020"/>
        <s v="332/2020"/>
        <s v="343/2020"/>
        <s v="001/2021"/>
        <s v="005/2021"/>
        <s v="006/2021"/>
        <s v="007/2021"/>
        <s v="008/2021"/>
        <s v="009/2021"/>
        <s v="010/2021"/>
        <s v="011/2021"/>
        <s v="012/2021"/>
        <s v="013/2021"/>
        <s v="017/2021"/>
        <s v="018/2021"/>
        <m/>
      </sharedItems>
    </cacheField>
    <cacheField name="IRP" numFmtId="0">
      <sharedItems containsBlank="1" count="30">
        <s v="-"/>
        <s v="136/2020"/>
        <s v="042/2020"/>
        <s v="048/2020"/>
        <s v="061/2020"/>
        <s v="092/2020"/>
        <s v="097/2020"/>
        <s v="108/2020"/>
        <s v="127/2020"/>
        <s v="128/2020"/>
        <s v="133/2020"/>
        <s v="134/2020"/>
        <s v="135/2020"/>
        <s v="137/2020"/>
        <s v="138/2020"/>
        <s v="001/2021"/>
        <s v="002/2021"/>
        <s v="003/2021"/>
        <s v="004/2021"/>
        <s v="005/2021"/>
        <s v="006/2021"/>
        <s v="007/2021"/>
        <s v="008/2021"/>
        <s v="009/2021"/>
        <s v="010/2021"/>
        <s v="011/2021"/>
        <s v="012/2021"/>
        <s v="014/2021"/>
        <s v="013/2021"/>
        <m/>
      </sharedItems>
    </cacheField>
    <cacheField name="Categoria" numFmtId="0">
      <sharedItems containsBlank="1" count="6">
        <s v="Serviço"/>
        <s v="Concessão"/>
        <s v="Permanente"/>
        <s v="Obra/Projeto"/>
        <s v="Consumo"/>
        <m/>
      </sharedItems>
    </cacheField>
    <cacheField name="Objeto" numFmtId="0">
      <sharedItems containsBlank="1" count="38">
        <s v="Contratação de serviços de manutenção de centrais telefônicas"/>
        <s v="Concessão de espaço para exploração de cafeteria e confeitaria"/>
        <s v="Contratação de serviços de auxiliar de serviços gerais."/>
        <s v="Contratação de serviços de manutenção de exaustores para o centro de eventos da UFSC."/>
        <s v="Contratação de serviço de medição remota e gestão dos dados do sistema de micromedição de consumo de água. "/>
        <s v="manutenção preventiva e corretiva e instalação de equipamentos em sistemas de prevenção e combate a incêndios."/>
        <s v="Serviços contínuos de manutenção preventiva e corretiva nos sistemas elétricos de baixa tensão, sistemas hidrossanitários, sistemas de gás GLP, sistemas eletroeletrônicos de segurânca, com fornecimento de mão de obra e possível fornecimento de materiais. "/>
        <s v="Contratação de serviços de apoio logístico, agencimento de cargas e despacho aduaneiro."/>
        <s v="Contratação de empresa especializada na prestação de serviços de manutenção das áreas verdes"/>
        <s v="Contratação de cuidadores para atendimento a estudantes com deficiência e mobilidade reduzida."/>
        <s v="Aquisição de aparelho de medição"/>
        <s v="Contratação de serviços de locação de notebooks e tablets. "/>
        <s v="Serviços de manutenção preventiva e corretiva e, montagem e desmontagem de divisórias e outros."/>
        <s v="Obra da rede de esgotamento sanitário a ser implantada no Setor 01 do Campus Trindade"/>
        <s v="Serviços de gestão de mão de obra para atendimento das necessidades das fortalezas"/>
        <s v="Contratação de serviços de recuperação estrutural e impermeabilização nas edificações da UFSC."/>
        <s v="Reforma da cobertura do prédio da fitotecnia - CCA301 com área de 452m2."/>
        <s v="Reforma de sanitários, copas e forro do auditório do prédio da da Reitoria REI01 - Área 550,8m2."/>
        <s v="Reforma e readequação do conjunto arquitetônico do DAC (Igrejinha, Teatro e casa do Divino) - 849,98m2."/>
        <s v="Aquisição de gêneros alimentícios"/>
        <s v="Aquisição de Materiais de Limpeza, Conservação e Higiene "/>
        <s v="Aquisição de materiais para manutenção dos sistemas de iluminação"/>
        <s v="Contratação de serviços de portaria para atender as demandas da UFSC."/>
        <s v="Contratação de prestação de serviços para processamento e distribuição de alimentos"/>
        <s v="Serviços de decoração para eventos institucionais"/>
        <s v="Aquisição de equipamentos de proteção individual (EPI) e materiais preventivos à Pandemia COVID-19"/>
        <s v="Aquisição de materiais odontológicos para o CCS."/>
        <s v="Aquisição de ferramentas para atender a UFSC."/>
        <s v="Aquisição de materiais de laboratório - Reagentes (ácidos, corantes e outros)."/>
        <s v="Aquisição de filamentos de impressora 3D e Webcans "/>
        <s v="Aquisição de Materiais de Sinalização Visual e Afins"/>
        <s v="Aquisição de Materiais e Equipamentos de Áudio, Vídeo e Foto"/>
        <s v="Aquisição de materiais odontológicos"/>
        <s v="Aquisição de materiais de prova exclusivos para vestibular e concursos públicos: cartões resposta e cadernos de folhas oficiais de resposta de redação e de questões discursivas"/>
        <s v="Aquisição de hortifrutigranjeiro"/>
        <s v="Aquisição de carnes para o Restaurante Universitário."/>
        <s v="Aquisição de material bibliográfico."/>
        <m/>
      </sharedItems>
    </cacheField>
    <cacheField name="Unidade" numFmtId="0">
      <sharedItems containsBlank="1" count="22">
        <s v="SETIC"/>
        <s v="BU"/>
        <s v="CCA"/>
        <s v="SECARTE"/>
        <s v="CGA"/>
        <s v="DMPI"/>
        <s v="DCOM"/>
        <s v="PU"/>
        <s v="SAAD"/>
        <s v="CBS"/>
        <s v="BNU"/>
        <s v="GR"/>
        <s v="CTC"/>
        <s v="SSI"/>
        <s v="CA"/>
        <s v="ARA"/>
        <s v="CCS"/>
        <s v="PRODEGESP"/>
        <s v="COPERVE"/>
        <s v="RU"/>
        <s v="NDI"/>
        <m/>
      </sharedItems>
    </cacheField>
    <cacheField name="Data do trâmite" numFmtId="0">
      <sharedItems containsNonDate="0" containsDate="1" containsString="0" containsBlank="1" count="19">
        <d v="2019-01-31T00:00:00"/>
        <d v="2020-02-04T00:00:00"/>
        <d v="2021-01-08T00:00:00"/>
        <d v="2021-01-20T00:00:00"/>
        <d v="2020-03-09T00:00:00"/>
        <d v="2021-01-19T00:00:00"/>
        <d v="2020-05-22T00:00:00"/>
        <d v="2021-01-04T00:00:00"/>
        <d v="2020-09-16T00:00:00"/>
        <d v="2021-01-12T00:00:00"/>
        <d v="2021-01-25T00:00:00"/>
        <d v="2020-10-23T00:00:00"/>
        <d v="2021-01-14T00:00:00"/>
        <d v="2021-01-13T00:00:00"/>
        <d v="2021-01-18T00:00:00"/>
        <d v="2020-12-30T00:00:00"/>
        <d v="2021-01-21T00:00:00"/>
        <d v="2021-01-22T00:00:00"/>
        <m/>
      </sharedItems>
    </cacheField>
    <cacheField name="Movimentação" numFmtId="0">
      <sharedItems containsBlank="1" count="12">
        <s v="Enc. para ajustes"/>
        <s v="Para análise da Procuradoria"/>
        <s v="Em prazo recursal"/>
        <s v="Em andamento"/>
        <s v="Enc. ao DPC para emissão de empenho"/>
        <s v="Enc. para homologação"/>
        <s v="Enc. ao DPC para informar a validade da ata"/>
        <s v="RDC Fracassado"/>
        <s v="Enc. ao DCOM para informar a validade da ata"/>
        <s v="Aguardando para abertura do certame"/>
        <s v="Enc. a Proad - Atestado conformidade"/>
        <m/>
      </sharedItems>
    </cacheField>
    <cacheField name="Responsável" numFmtId="0">
      <sharedItems containsBlank="1" count="7">
        <s v="Diego Ossanes"/>
        <s v="Mery"/>
        <s v="Gerson"/>
        <s v="Anderson"/>
        <s v="Diego Eller"/>
        <s v="Nailor"/>
        <m/>
      </sharedItems>
    </cacheField>
    <cacheField name="Valor estimado" numFmtId="0">
      <sharedItems containsString="0" containsBlank="1" containsNumber="1" count="39">
        <n v="219917.76"/>
        <n v="29898.25"/>
        <n v="672334.32"/>
        <n v="27319.96"/>
        <n v="62400"/>
        <n v="443238.26"/>
        <n v="4517702.24"/>
        <n v="100144.95"/>
        <n v="2591777.34"/>
        <n v="3463133.76"/>
        <n v="5463515.0599999996"/>
        <n v="7858800"/>
        <n v="3971162.59"/>
        <n v="295219.86"/>
        <n v="1836487.52"/>
        <n v="1491496.5"/>
        <n v="163800.26999999999"/>
        <n v="574378.51"/>
        <n v="620641.17000000004"/>
        <n v="192682.49"/>
        <n v="703494.95"/>
        <n v="1873536.94"/>
        <n v="6797437.7999999998"/>
        <n v="378213.12"/>
        <n v="73089.899999999994"/>
        <n v="8432647.5600000005"/>
        <n v="20787"/>
        <n v="42462.43"/>
        <n v="291689.43"/>
        <n v="41740.050000000003"/>
        <n v="41025.33"/>
        <n v="784551.69"/>
        <n v="334304"/>
        <n v="159275"/>
        <n v="5246892"/>
        <n v="13146809"/>
        <n v="522521.11"/>
        <n v="1500000"/>
        <m/>
      </sharedItems>
    </cacheField>
    <cacheField name="Qtde de itens _x000a_licitados" numFmtId="0">
      <sharedItems containsString="0" containsBlank="1" containsNumber="1" containsInteger="1" count="27">
        <n v="4"/>
        <n v="1"/>
        <n v="2"/>
        <n v="146"/>
        <n v="11"/>
        <n v="9"/>
        <n v="3"/>
        <n v="5"/>
        <n v="83"/>
        <n v="302"/>
        <n v="8"/>
        <n v="62"/>
        <n v="101"/>
        <n v="20"/>
        <n v="53"/>
        <n v="17"/>
        <n v="6"/>
        <n v="57"/>
        <n v="91"/>
        <n v="93"/>
        <n v="81"/>
        <n v="13"/>
        <n v="25"/>
        <n v="38"/>
        <n v="26"/>
        <n v="76"/>
        <m/>
      </sharedItems>
    </cacheField>
    <cacheField name="Grupos/lotes" numFmtId="0">
      <sharedItems containsString="0" containsBlank="1" containsNumber="1" containsInteger="1" count="6">
        <n v="2"/>
        <n v="0"/>
        <n v="1"/>
        <n v="5"/>
        <n v="15"/>
        <m/>
      </sharedItems>
    </cacheField>
    <cacheField name="Impugnado" numFmtId="0">
      <sharedItems containsBlank="1" count="2">
        <m/>
        <s v="Não"/>
      </sharedItems>
    </cacheField>
    <cacheField name="Pertinente" numFmtId="0">
      <sharedItems containsBlank="1" count="2">
        <m/>
        <s v="N/A"/>
      </sharedItems>
    </cacheField>
    <cacheField name="Houve?" numFmtId="0">
      <sharedItems containsBlank="1" count="2">
        <m/>
        <s v="Não"/>
      </sharedItems>
    </cacheField>
    <cacheField name="Ato judicial?" numFmtId="0">
      <sharedItems containsBlank="1" count="3">
        <m/>
        <s v="Não"/>
        <s v="N/A"/>
      </sharedItems>
    </cacheField>
    <cacheField name="Data de_x000a_abertura" numFmtId="0">
      <sharedItems containsNonDate="0" containsDate="1" containsString="0" containsBlank="1" count="17">
        <m/>
        <d v="2021-01-05T00:00:00"/>
        <d v="2021-01-07T00:00:00"/>
        <d v="2021-01-18T00:00:00"/>
        <d v="2020-09-23T00:00:00"/>
        <d v="2021-01-12T00:00:00"/>
        <d v="2021-01-11T00:00:00"/>
        <d v="2021-01-13T00:00:00"/>
        <d v="2021-01-06T00:00:00"/>
        <d v="2021-02-01T00:00:00"/>
        <d v="2021-01-08T00:00:00"/>
        <d v="2021-01-20T00:00:00"/>
        <d v="2021-02-02T00:00:00"/>
        <d v="2021-02-04T00:00:00"/>
        <d v="2021-02-03T00:00:00"/>
        <d v="2021-02-09T00:00:00"/>
        <d v="2021-02-08T00:00:00"/>
      </sharedItems>
    </cacheField>
    <cacheField name="Horário" numFmtId="0">
      <sharedItems containsString="0" containsBlank="1" containsNumber="1" count="5">
        <m/>
        <n v="0.375"/>
        <n v="0.60416666666666696"/>
        <n v="0.35416666666666702"/>
        <n v="0.41666666666666707"/>
      </sharedItems>
    </cacheField>
    <cacheField name="Solicitado" numFmtId="0">
      <sharedItems containsBlank="1" count="2">
        <m/>
        <s v="Não"/>
      </sharedItems>
    </cacheField>
    <cacheField name="Pertinente2" numFmtId="0">
      <sharedItems containsBlank="1" count="2">
        <m/>
        <s v="N/A"/>
      </sharedItems>
    </cacheField>
    <cacheField name="Motivo" numFmtId="0">
      <sharedItems containsBlank="1" count="3">
        <m/>
        <s v="-"/>
        <s v=" -"/>
      </sharedItems>
    </cacheField>
    <cacheField name="Retorno de fase" numFmtId="0">
      <sharedItems containsBlank="1" count="3">
        <m/>
        <s v="Não"/>
        <s v="N/A"/>
      </sharedItems>
    </cacheField>
    <cacheField name="Data de homologação" numFmtId="0">
      <sharedItems containsNonDate="0" containsDate="1" containsString="0" containsBlank="1" count="4">
        <m/>
        <d v="2021-01-19T00:00:00"/>
        <d v="2021-01-20T00:00:00"/>
        <d v="2021-01-17T00:00:00"/>
      </sharedItems>
    </cacheField>
    <cacheField name="Prazo" numFmtId="0">
      <sharedItems containsBlank="1" containsMixedTypes="1" containsNumber="1" containsInteger="1" count="18">
        <m/>
        <s v=""/>
        <n v="20"/>
        <n v="12"/>
        <n v="7"/>
        <n v="124"/>
        <n v="13"/>
        <n v="18"/>
        <n v="14"/>
        <n v="11"/>
        <n v="-7"/>
        <n v="9"/>
        <n v="5"/>
        <n v="-8"/>
        <n v="-10"/>
        <n v="-9"/>
        <n v="-15"/>
        <n v="-14"/>
      </sharedItems>
    </cacheField>
    <cacheField name="Itens homologados" numFmtId="0">
      <sharedItems containsString="0" containsBlank="1" containsNumber="1" containsInteger="1" count="6">
        <m/>
        <n v="3"/>
        <n v="62"/>
        <n v="0"/>
        <n v="19"/>
        <n v="2"/>
      </sharedItems>
    </cacheField>
    <cacheField name="Quantidade" numFmtId="0">
      <sharedItems containsString="0" containsBlank="1" containsNumber="1" containsInteger="1" count="3">
        <m/>
        <n v="0"/>
        <n v="1"/>
      </sharedItems>
    </cacheField>
    <cacheField name="Valor" numFmtId="0">
      <sharedItems containsString="0" containsBlank="1" containsNumber="1" count="5">
        <m/>
        <n v="0"/>
        <n v="295219.86"/>
        <n v="620641.17000000004"/>
        <n v="1806.24"/>
      </sharedItems>
    </cacheField>
    <cacheField name="Motivo2" numFmtId="0">
      <sharedItems containsBlank="1" count="5">
        <m/>
        <s v="-"/>
        <s v="Documentos de aceitação e habilitaçao não estão de acordo com o edital."/>
        <s v="Nenhuma empresa atendeu às exigências do Edital - qual. Técnica."/>
        <s v="Valores acima do estimado"/>
      </sharedItems>
    </cacheField>
    <cacheField name="Quantidade2" numFmtId="0">
      <sharedItems containsString="0" containsBlank="1" containsNumber="1" containsInteger="1" count="3">
        <m/>
        <n v="0"/>
        <n v="20"/>
      </sharedItems>
    </cacheField>
    <cacheField name="Valor2" numFmtId="0">
      <sharedItems containsString="0" containsBlank="1" containsNumber="1" containsInteger="1" count="2">
        <m/>
        <n v="0"/>
      </sharedItems>
    </cacheField>
    <cacheField name="Valor adjudicado" numFmtId="0">
      <sharedItems containsString="0" containsBlank="1" containsNumber="1" count="6">
        <m/>
        <n v="1944786.84"/>
        <n v="0"/>
        <n v="950001"/>
        <n v="367280.8"/>
        <n v="319468.79999999999"/>
      </sharedItems>
    </cacheField>
    <cacheField name="Economicidade" numFmtId="0">
      <sharedItems containsBlank="1" containsMixedTypes="1" containsNumber="1" count="37">
        <n v="219917.76"/>
        <s v=""/>
        <n v="672334.32"/>
        <n v="27319.96"/>
        <n v="62400"/>
        <n v="443238.26"/>
        <n v="4517702.24"/>
        <n v="100144.95"/>
        <n v="646990.5"/>
        <n v="3463133.76"/>
        <n v="5463515.0599999996"/>
        <n v="7858800"/>
        <n v="3971162.59"/>
        <n v="0"/>
        <n v="1836487.52"/>
        <n v="541495.5"/>
        <n v="163800.26999999999"/>
        <n v="574378.51"/>
        <m/>
        <n v="334407.90999999997"/>
        <n v="1873536.94"/>
        <n v="6797437.7999999998"/>
        <n v="58744.32"/>
        <n v="73089.899999999994"/>
        <n v="8432647.5600000005"/>
        <n v="20787"/>
        <n v="42462.43"/>
        <n v="291689.43"/>
        <n v="41740.050000000003"/>
        <n v="41025.33"/>
        <n v="784551.69"/>
        <n v="334304"/>
        <n v="159275"/>
        <n v="5246892"/>
        <n v="13146809"/>
        <n v="522521.11"/>
        <n v="1500000"/>
      </sharedItems>
    </cacheField>
    <cacheField name="%" numFmtId="0">
      <sharedItems containsBlank="1" containsMixedTypes="1" containsNumber="1" count="8">
        <n v="1"/>
        <s v=""/>
        <n v="0.24963197648760999"/>
        <n v="0"/>
        <n v="0.36305515970034102"/>
        <m/>
        <n v="0.47535225377239698"/>
        <n v="0.15532068268811"/>
      </sharedItems>
    </cacheField>
    <cacheField name="Status" numFmtId="0">
      <sharedItems containsBlank="1" count="3">
        <m/>
        <s v="Finalizado – Consolidado"/>
        <s v="Finalizado – Fracassado"/>
      </sharedItems>
    </cacheField>
    <cacheField name="Data de abertura" numFmtId="0">
      <sharedItems containsNonDate="0" containsDate="1" containsString="0" containsBlank="1" count="28">
        <d v="2018-09-20T00:00:00"/>
        <d v="2019-02-18T00:00:00"/>
        <d v="2019-12-03T00:00:00"/>
        <d v="2019-12-05T00:00:00"/>
        <m/>
        <d v="2019-07-31T00:00:00"/>
        <d v="2020-03-13T00:00:00"/>
        <d v="2020-04-30T00:00:00"/>
        <d v="2020-04-01T00:00:00"/>
        <d v="2020-08-19T00:00:00"/>
        <d v="2020-07-24T00:00:00"/>
        <d v="2020-10-19T00:00:00"/>
        <d v="2020-05-21T00:00:00"/>
        <d v="2020-10-08T00:00:00"/>
        <d v="2020-10-23T00:00:00"/>
        <d v="2020-11-04T00:00:00"/>
        <d v="2020-11-05T00:00:00"/>
        <d v="2020-08-12T00:00:00"/>
        <d v="2020-09-28T00:00:00"/>
        <d v="2020-10-14T00:00:00"/>
        <d v="2020-09-23T00:00:00"/>
        <d v="2020-12-03T00:00:00"/>
        <d v="2020-12-18T00:00:00"/>
        <d v="2020-12-08T00:00:00"/>
        <d v="2020-11-03T00:00:00"/>
        <d v="2020-11-23T00:00:00"/>
        <d v="2020-12-14T00:00:00"/>
        <d v="2020-11-19T00:00:00"/>
      </sharedItems>
    </cacheField>
    <cacheField name="Data de aprovação" numFmtId="0">
      <sharedItems containsNonDate="0" containsDate="1" containsString="0" containsBlank="1" count="16">
        <m/>
        <d v="2020-01-15T00:00:00"/>
        <d v="2020-12-02T00:00:00"/>
        <d v="2020-02-20T00:00:00"/>
        <d v="2020-03-06T00:00:00"/>
        <d v="2020-04-01T00:00:00"/>
        <d v="2020-04-13T00:00:00"/>
        <d v="2020-12-17T00:00:00"/>
        <d v="2020-05-20T00:00:00"/>
        <d v="2021-01-04T00:00:00"/>
        <d v="2020-12-07T00:00:00"/>
        <d v="2020-12-01T00:00:00"/>
        <d v="2020-12-18T00:00:00"/>
        <d v="2021-01-13T00:00:00"/>
        <d v="2021-01-21T00:00:00"/>
        <d v="2021-01-20T00:00: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7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0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"/>
    <x v="1"/>
    <x v="0"/>
    <x v="1"/>
    <x v="1"/>
  </r>
  <r>
    <x v="2"/>
    <x v="2"/>
    <x v="2"/>
    <x v="2"/>
    <x v="1"/>
    <x v="0"/>
    <x v="2"/>
    <x v="2"/>
    <x v="2"/>
    <x v="2"/>
    <x v="1"/>
    <x v="2"/>
    <x v="1"/>
    <x v="1"/>
    <x v="0"/>
    <x v="0"/>
    <x v="0"/>
    <x v="0"/>
    <x v="1"/>
    <x v="1"/>
    <x v="0"/>
    <x v="0"/>
    <x v="0"/>
    <x v="0"/>
    <x v="0"/>
    <x v="2"/>
    <x v="0"/>
    <x v="0"/>
    <x v="0"/>
    <x v="0"/>
    <x v="0"/>
    <x v="0"/>
    <x v="0"/>
    <x v="2"/>
    <x v="0"/>
    <x v="0"/>
    <x v="2"/>
    <x v="2"/>
  </r>
  <r>
    <x v="3"/>
    <x v="0"/>
    <x v="0"/>
    <x v="3"/>
    <x v="0"/>
    <x v="0"/>
    <x v="3"/>
    <x v="3"/>
    <x v="3"/>
    <x v="0"/>
    <x v="0"/>
    <x v="3"/>
    <x v="2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3"/>
    <x v="0"/>
    <x v="0"/>
    <x v="3"/>
    <x v="3"/>
  </r>
  <r>
    <x v="4"/>
    <x v="2"/>
    <x v="2"/>
    <x v="4"/>
    <x v="2"/>
    <x v="0"/>
    <x v="4"/>
    <x v="4"/>
    <x v="4"/>
    <x v="3"/>
    <x v="2"/>
    <x v="4"/>
    <x v="1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4"/>
    <x v="0"/>
    <x v="0"/>
    <x v="3"/>
    <x v="4"/>
  </r>
  <r>
    <x v="5"/>
    <x v="2"/>
    <x v="2"/>
    <x v="5"/>
    <x v="3"/>
    <x v="0"/>
    <x v="5"/>
    <x v="5"/>
    <x v="3"/>
    <x v="0"/>
    <x v="1"/>
    <x v="5"/>
    <x v="3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5"/>
    <x v="0"/>
    <x v="0"/>
    <x v="4"/>
    <x v="0"/>
  </r>
  <r>
    <x v="6"/>
    <x v="0"/>
    <x v="0"/>
    <x v="6"/>
    <x v="0"/>
    <x v="0"/>
    <x v="6"/>
    <x v="5"/>
    <x v="3"/>
    <x v="0"/>
    <x v="3"/>
    <x v="6"/>
    <x v="4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6"/>
    <x v="0"/>
    <x v="0"/>
    <x v="5"/>
    <x v="5"/>
  </r>
  <r>
    <x v="7"/>
    <x v="0"/>
    <x v="0"/>
    <x v="7"/>
    <x v="0"/>
    <x v="0"/>
    <x v="7"/>
    <x v="6"/>
    <x v="3"/>
    <x v="0"/>
    <x v="4"/>
    <x v="7"/>
    <x v="5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7"/>
    <x v="0"/>
    <x v="0"/>
    <x v="6"/>
    <x v="6"/>
  </r>
  <r>
    <x v="8"/>
    <x v="0"/>
    <x v="0"/>
    <x v="8"/>
    <x v="0"/>
    <x v="0"/>
    <x v="8"/>
    <x v="7"/>
    <x v="5"/>
    <x v="4"/>
    <x v="3"/>
    <x v="8"/>
    <x v="6"/>
    <x v="2"/>
    <x v="1"/>
    <x v="1"/>
    <x v="1"/>
    <x v="1"/>
    <x v="2"/>
    <x v="2"/>
    <x v="1"/>
    <x v="1"/>
    <x v="1"/>
    <x v="1"/>
    <x v="1"/>
    <x v="3"/>
    <x v="1"/>
    <x v="1"/>
    <x v="1"/>
    <x v="1"/>
    <x v="1"/>
    <x v="1"/>
    <x v="1"/>
    <x v="8"/>
    <x v="2"/>
    <x v="1"/>
    <x v="2"/>
    <x v="7"/>
  </r>
  <r>
    <x v="9"/>
    <x v="2"/>
    <x v="2"/>
    <x v="9"/>
    <x v="4"/>
    <x v="0"/>
    <x v="9"/>
    <x v="8"/>
    <x v="6"/>
    <x v="1"/>
    <x v="1"/>
    <x v="9"/>
    <x v="7"/>
    <x v="4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9"/>
    <x v="0"/>
    <x v="0"/>
    <x v="7"/>
    <x v="8"/>
  </r>
  <r>
    <x v="10"/>
    <x v="2"/>
    <x v="2"/>
    <x v="10"/>
    <x v="5"/>
    <x v="2"/>
    <x v="10"/>
    <x v="9"/>
    <x v="7"/>
    <x v="3"/>
    <x v="2"/>
    <x v="10"/>
    <x v="8"/>
    <x v="1"/>
    <x v="1"/>
    <x v="1"/>
    <x v="1"/>
    <x v="2"/>
    <x v="3"/>
    <x v="2"/>
    <x v="0"/>
    <x v="0"/>
    <x v="0"/>
    <x v="0"/>
    <x v="0"/>
    <x v="4"/>
    <x v="0"/>
    <x v="0"/>
    <x v="0"/>
    <x v="0"/>
    <x v="2"/>
    <x v="0"/>
    <x v="0"/>
    <x v="10"/>
    <x v="0"/>
    <x v="0"/>
    <x v="8"/>
    <x v="9"/>
  </r>
  <r>
    <x v="11"/>
    <x v="2"/>
    <x v="2"/>
    <x v="11"/>
    <x v="6"/>
    <x v="0"/>
    <x v="11"/>
    <x v="0"/>
    <x v="8"/>
    <x v="0"/>
    <x v="4"/>
    <x v="11"/>
    <x v="2"/>
    <x v="2"/>
    <x v="0"/>
    <x v="0"/>
    <x v="0"/>
    <x v="0"/>
    <x v="4"/>
    <x v="1"/>
    <x v="0"/>
    <x v="0"/>
    <x v="0"/>
    <x v="0"/>
    <x v="0"/>
    <x v="5"/>
    <x v="0"/>
    <x v="0"/>
    <x v="0"/>
    <x v="0"/>
    <x v="0"/>
    <x v="0"/>
    <x v="0"/>
    <x v="11"/>
    <x v="0"/>
    <x v="0"/>
    <x v="9"/>
    <x v="0"/>
  </r>
  <r>
    <x v="12"/>
    <x v="2"/>
    <x v="2"/>
    <x v="12"/>
    <x v="7"/>
    <x v="0"/>
    <x v="12"/>
    <x v="10"/>
    <x v="9"/>
    <x v="3"/>
    <x v="1"/>
    <x v="12"/>
    <x v="9"/>
    <x v="0"/>
    <x v="0"/>
    <x v="0"/>
    <x v="0"/>
    <x v="0"/>
    <x v="5"/>
    <x v="1"/>
    <x v="0"/>
    <x v="0"/>
    <x v="0"/>
    <x v="0"/>
    <x v="0"/>
    <x v="6"/>
    <x v="0"/>
    <x v="0"/>
    <x v="0"/>
    <x v="0"/>
    <x v="0"/>
    <x v="0"/>
    <x v="0"/>
    <x v="12"/>
    <x v="0"/>
    <x v="0"/>
    <x v="10"/>
    <x v="10"/>
  </r>
  <r>
    <x v="13"/>
    <x v="3"/>
    <x v="1"/>
    <x v="13"/>
    <x v="0"/>
    <x v="3"/>
    <x v="13"/>
    <x v="7"/>
    <x v="10"/>
    <x v="5"/>
    <x v="1"/>
    <x v="13"/>
    <x v="1"/>
    <x v="1"/>
    <x v="1"/>
    <x v="1"/>
    <x v="1"/>
    <x v="2"/>
    <x v="2"/>
    <x v="1"/>
    <x v="1"/>
    <x v="1"/>
    <x v="1"/>
    <x v="2"/>
    <x v="0"/>
    <x v="7"/>
    <x v="0"/>
    <x v="2"/>
    <x v="2"/>
    <x v="2"/>
    <x v="1"/>
    <x v="1"/>
    <x v="2"/>
    <x v="13"/>
    <x v="3"/>
    <x v="0"/>
    <x v="11"/>
    <x v="10"/>
  </r>
  <r>
    <x v="14"/>
    <x v="2"/>
    <x v="2"/>
    <x v="14"/>
    <x v="8"/>
    <x v="0"/>
    <x v="14"/>
    <x v="3"/>
    <x v="11"/>
    <x v="1"/>
    <x v="4"/>
    <x v="14"/>
    <x v="10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4"/>
    <x v="0"/>
    <x v="0"/>
    <x v="12"/>
    <x v="0"/>
  </r>
  <r>
    <x v="15"/>
    <x v="2"/>
    <x v="2"/>
    <x v="15"/>
    <x v="9"/>
    <x v="0"/>
    <x v="15"/>
    <x v="5"/>
    <x v="3"/>
    <x v="6"/>
    <x v="3"/>
    <x v="15"/>
    <x v="11"/>
    <x v="2"/>
    <x v="1"/>
    <x v="1"/>
    <x v="1"/>
    <x v="1"/>
    <x v="2"/>
    <x v="3"/>
    <x v="1"/>
    <x v="1"/>
    <x v="1"/>
    <x v="1"/>
    <x v="2"/>
    <x v="6"/>
    <x v="2"/>
    <x v="1"/>
    <x v="1"/>
    <x v="1"/>
    <x v="1"/>
    <x v="1"/>
    <x v="3"/>
    <x v="15"/>
    <x v="4"/>
    <x v="1"/>
    <x v="13"/>
    <x v="11"/>
  </r>
  <r>
    <x v="16"/>
    <x v="3"/>
    <x v="3"/>
    <x v="16"/>
    <x v="0"/>
    <x v="3"/>
    <x v="16"/>
    <x v="2"/>
    <x v="12"/>
    <x v="2"/>
    <x v="1"/>
    <x v="16"/>
    <x v="1"/>
    <x v="1"/>
    <x v="0"/>
    <x v="0"/>
    <x v="0"/>
    <x v="0"/>
    <x v="6"/>
    <x v="1"/>
    <x v="0"/>
    <x v="0"/>
    <x v="0"/>
    <x v="0"/>
    <x v="0"/>
    <x v="8"/>
    <x v="0"/>
    <x v="0"/>
    <x v="0"/>
    <x v="0"/>
    <x v="0"/>
    <x v="0"/>
    <x v="0"/>
    <x v="16"/>
    <x v="0"/>
    <x v="0"/>
    <x v="14"/>
    <x v="10"/>
  </r>
  <r>
    <x v="17"/>
    <x v="3"/>
    <x v="3"/>
    <x v="17"/>
    <x v="0"/>
    <x v="3"/>
    <x v="17"/>
    <x v="11"/>
    <x v="13"/>
    <x v="3"/>
    <x v="1"/>
    <x v="17"/>
    <x v="1"/>
    <x v="1"/>
    <x v="0"/>
    <x v="0"/>
    <x v="0"/>
    <x v="0"/>
    <x v="7"/>
    <x v="1"/>
    <x v="0"/>
    <x v="0"/>
    <x v="0"/>
    <x v="0"/>
    <x v="0"/>
    <x v="3"/>
    <x v="0"/>
    <x v="0"/>
    <x v="0"/>
    <x v="0"/>
    <x v="0"/>
    <x v="0"/>
    <x v="0"/>
    <x v="17"/>
    <x v="0"/>
    <x v="0"/>
    <x v="15"/>
    <x v="10"/>
  </r>
  <r>
    <x v="18"/>
    <x v="3"/>
    <x v="3"/>
    <x v="18"/>
    <x v="0"/>
    <x v="3"/>
    <x v="18"/>
    <x v="3"/>
    <x v="5"/>
    <x v="7"/>
    <x v="4"/>
    <x v="18"/>
    <x v="1"/>
    <x v="1"/>
    <x v="1"/>
    <x v="1"/>
    <x v="1"/>
    <x v="2"/>
    <x v="8"/>
    <x v="1"/>
    <x v="1"/>
    <x v="1"/>
    <x v="1"/>
    <x v="1"/>
    <x v="3"/>
    <x v="9"/>
    <x v="3"/>
    <x v="2"/>
    <x v="3"/>
    <x v="3"/>
    <x v="1"/>
    <x v="1"/>
    <x v="2"/>
    <x v="13"/>
    <x v="3"/>
    <x v="2"/>
    <x v="16"/>
    <x v="10"/>
  </r>
  <r>
    <x v="19"/>
    <x v="2"/>
    <x v="2"/>
    <x v="19"/>
    <x v="10"/>
    <x v="4"/>
    <x v="19"/>
    <x v="2"/>
    <x v="9"/>
    <x v="3"/>
    <x v="3"/>
    <x v="19"/>
    <x v="12"/>
    <x v="1"/>
    <x v="0"/>
    <x v="0"/>
    <x v="0"/>
    <x v="0"/>
    <x v="8"/>
    <x v="3"/>
    <x v="0"/>
    <x v="0"/>
    <x v="0"/>
    <x v="0"/>
    <x v="0"/>
    <x v="0"/>
    <x v="0"/>
    <x v="0"/>
    <x v="0"/>
    <x v="0"/>
    <x v="0"/>
    <x v="0"/>
    <x v="0"/>
    <x v="18"/>
    <x v="5"/>
    <x v="0"/>
    <x v="17"/>
    <x v="2"/>
  </r>
  <r>
    <x v="20"/>
    <x v="2"/>
    <x v="2"/>
    <x v="20"/>
    <x v="11"/>
    <x v="4"/>
    <x v="20"/>
    <x v="12"/>
    <x v="3"/>
    <x v="8"/>
    <x v="0"/>
    <x v="20"/>
    <x v="13"/>
    <x v="1"/>
    <x v="1"/>
    <x v="1"/>
    <x v="1"/>
    <x v="2"/>
    <x v="8"/>
    <x v="4"/>
    <x v="1"/>
    <x v="1"/>
    <x v="2"/>
    <x v="2"/>
    <x v="1"/>
    <x v="6"/>
    <x v="4"/>
    <x v="2"/>
    <x v="4"/>
    <x v="4"/>
    <x v="1"/>
    <x v="1"/>
    <x v="4"/>
    <x v="19"/>
    <x v="6"/>
    <x v="1"/>
    <x v="18"/>
    <x v="2"/>
  </r>
  <r>
    <x v="21"/>
    <x v="2"/>
    <x v="2"/>
    <x v="21"/>
    <x v="12"/>
    <x v="4"/>
    <x v="21"/>
    <x v="5"/>
    <x v="14"/>
    <x v="3"/>
    <x v="1"/>
    <x v="21"/>
    <x v="14"/>
    <x v="2"/>
    <x v="0"/>
    <x v="0"/>
    <x v="0"/>
    <x v="0"/>
    <x v="3"/>
    <x v="1"/>
    <x v="0"/>
    <x v="0"/>
    <x v="0"/>
    <x v="0"/>
    <x v="0"/>
    <x v="4"/>
    <x v="0"/>
    <x v="0"/>
    <x v="0"/>
    <x v="0"/>
    <x v="0"/>
    <x v="0"/>
    <x v="0"/>
    <x v="20"/>
    <x v="0"/>
    <x v="0"/>
    <x v="19"/>
    <x v="2"/>
  </r>
  <r>
    <x v="22"/>
    <x v="2"/>
    <x v="2"/>
    <x v="22"/>
    <x v="13"/>
    <x v="0"/>
    <x v="22"/>
    <x v="13"/>
    <x v="14"/>
    <x v="9"/>
    <x v="4"/>
    <x v="22"/>
    <x v="15"/>
    <x v="3"/>
    <x v="0"/>
    <x v="0"/>
    <x v="0"/>
    <x v="0"/>
    <x v="9"/>
    <x v="1"/>
    <x v="0"/>
    <x v="0"/>
    <x v="0"/>
    <x v="0"/>
    <x v="0"/>
    <x v="10"/>
    <x v="0"/>
    <x v="0"/>
    <x v="0"/>
    <x v="0"/>
    <x v="0"/>
    <x v="0"/>
    <x v="0"/>
    <x v="21"/>
    <x v="0"/>
    <x v="0"/>
    <x v="20"/>
    <x v="0"/>
  </r>
  <r>
    <x v="23"/>
    <x v="2"/>
    <x v="2"/>
    <x v="23"/>
    <x v="14"/>
    <x v="0"/>
    <x v="23"/>
    <x v="14"/>
    <x v="5"/>
    <x v="6"/>
    <x v="4"/>
    <x v="23"/>
    <x v="2"/>
    <x v="1"/>
    <x v="1"/>
    <x v="1"/>
    <x v="1"/>
    <x v="1"/>
    <x v="10"/>
    <x v="1"/>
    <x v="1"/>
    <x v="1"/>
    <x v="1"/>
    <x v="1"/>
    <x v="3"/>
    <x v="11"/>
    <x v="5"/>
    <x v="1"/>
    <x v="1"/>
    <x v="1"/>
    <x v="1"/>
    <x v="1"/>
    <x v="5"/>
    <x v="22"/>
    <x v="7"/>
    <x v="1"/>
    <x v="21"/>
    <x v="12"/>
  </r>
  <r>
    <x v="24"/>
    <x v="2"/>
    <x v="2"/>
    <x v="24"/>
    <x v="15"/>
    <x v="0"/>
    <x v="24"/>
    <x v="15"/>
    <x v="15"/>
    <x v="1"/>
    <x v="5"/>
    <x v="24"/>
    <x v="16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23"/>
    <x v="0"/>
    <x v="0"/>
    <x v="22"/>
    <x v="0"/>
  </r>
  <r>
    <x v="25"/>
    <x v="2"/>
    <x v="2"/>
    <x v="25"/>
    <x v="16"/>
    <x v="4"/>
    <x v="25"/>
    <x v="16"/>
    <x v="7"/>
    <x v="9"/>
    <x v="0"/>
    <x v="25"/>
    <x v="17"/>
    <x v="1"/>
    <x v="0"/>
    <x v="0"/>
    <x v="0"/>
    <x v="0"/>
    <x v="11"/>
    <x v="4"/>
    <x v="0"/>
    <x v="0"/>
    <x v="0"/>
    <x v="0"/>
    <x v="0"/>
    <x v="12"/>
    <x v="0"/>
    <x v="0"/>
    <x v="0"/>
    <x v="0"/>
    <x v="0"/>
    <x v="0"/>
    <x v="0"/>
    <x v="24"/>
    <x v="0"/>
    <x v="0"/>
    <x v="18"/>
    <x v="9"/>
  </r>
  <r>
    <x v="26"/>
    <x v="2"/>
    <x v="2"/>
    <x v="26"/>
    <x v="17"/>
    <x v="4"/>
    <x v="26"/>
    <x v="16"/>
    <x v="14"/>
    <x v="9"/>
    <x v="5"/>
    <x v="26"/>
    <x v="18"/>
    <x v="1"/>
    <x v="0"/>
    <x v="0"/>
    <x v="0"/>
    <x v="0"/>
    <x v="12"/>
    <x v="1"/>
    <x v="0"/>
    <x v="0"/>
    <x v="0"/>
    <x v="0"/>
    <x v="0"/>
    <x v="13"/>
    <x v="0"/>
    <x v="0"/>
    <x v="0"/>
    <x v="0"/>
    <x v="0"/>
    <x v="0"/>
    <x v="0"/>
    <x v="25"/>
    <x v="0"/>
    <x v="0"/>
    <x v="18"/>
    <x v="13"/>
  </r>
  <r>
    <x v="27"/>
    <x v="2"/>
    <x v="2"/>
    <x v="27"/>
    <x v="18"/>
    <x v="4"/>
    <x v="27"/>
    <x v="10"/>
    <x v="14"/>
    <x v="9"/>
    <x v="2"/>
    <x v="27"/>
    <x v="19"/>
    <x v="1"/>
    <x v="0"/>
    <x v="0"/>
    <x v="0"/>
    <x v="0"/>
    <x v="9"/>
    <x v="4"/>
    <x v="0"/>
    <x v="0"/>
    <x v="0"/>
    <x v="0"/>
    <x v="0"/>
    <x v="10"/>
    <x v="0"/>
    <x v="0"/>
    <x v="0"/>
    <x v="0"/>
    <x v="0"/>
    <x v="0"/>
    <x v="0"/>
    <x v="26"/>
    <x v="0"/>
    <x v="0"/>
    <x v="18"/>
    <x v="13"/>
  </r>
  <r>
    <x v="28"/>
    <x v="2"/>
    <x v="2"/>
    <x v="28"/>
    <x v="19"/>
    <x v="4"/>
    <x v="28"/>
    <x v="9"/>
    <x v="14"/>
    <x v="9"/>
    <x v="5"/>
    <x v="28"/>
    <x v="20"/>
    <x v="1"/>
    <x v="0"/>
    <x v="0"/>
    <x v="0"/>
    <x v="0"/>
    <x v="13"/>
    <x v="1"/>
    <x v="0"/>
    <x v="0"/>
    <x v="0"/>
    <x v="0"/>
    <x v="0"/>
    <x v="14"/>
    <x v="0"/>
    <x v="0"/>
    <x v="0"/>
    <x v="0"/>
    <x v="0"/>
    <x v="0"/>
    <x v="0"/>
    <x v="27"/>
    <x v="0"/>
    <x v="0"/>
    <x v="17"/>
    <x v="13"/>
  </r>
  <r>
    <x v="29"/>
    <x v="2"/>
    <x v="2"/>
    <x v="29"/>
    <x v="20"/>
    <x v="4"/>
    <x v="29"/>
    <x v="10"/>
    <x v="16"/>
    <x v="9"/>
    <x v="0"/>
    <x v="29"/>
    <x v="21"/>
    <x v="1"/>
    <x v="0"/>
    <x v="0"/>
    <x v="0"/>
    <x v="0"/>
    <x v="14"/>
    <x v="4"/>
    <x v="0"/>
    <x v="0"/>
    <x v="0"/>
    <x v="0"/>
    <x v="0"/>
    <x v="15"/>
    <x v="0"/>
    <x v="0"/>
    <x v="0"/>
    <x v="0"/>
    <x v="0"/>
    <x v="0"/>
    <x v="0"/>
    <x v="28"/>
    <x v="0"/>
    <x v="0"/>
    <x v="23"/>
    <x v="13"/>
  </r>
  <r>
    <x v="30"/>
    <x v="2"/>
    <x v="2"/>
    <x v="30"/>
    <x v="21"/>
    <x v="4"/>
    <x v="30"/>
    <x v="17"/>
    <x v="14"/>
    <x v="9"/>
    <x v="3"/>
    <x v="30"/>
    <x v="22"/>
    <x v="1"/>
    <x v="0"/>
    <x v="0"/>
    <x v="0"/>
    <x v="0"/>
    <x v="9"/>
    <x v="3"/>
    <x v="0"/>
    <x v="0"/>
    <x v="0"/>
    <x v="0"/>
    <x v="0"/>
    <x v="10"/>
    <x v="0"/>
    <x v="0"/>
    <x v="0"/>
    <x v="0"/>
    <x v="0"/>
    <x v="0"/>
    <x v="0"/>
    <x v="29"/>
    <x v="0"/>
    <x v="0"/>
    <x v="17"/>
    <x v="13"/>
  </r>
  <r>
    <x v="31"/>
    <x v="2"/>
    <x v="2"/>
    <x v="31"/>
    <x v="22"/>
    <x v="2"/>
    <x v="31"/>
    <x v="9"/>
    <x v="14"/>
    <x v="9"/>
    <x v="2"/>
    <x v="31"/>
    <x v="23"/>
    <x v="1"/>
    <x v="0"/>
    <x v="0"/>
    <x v="0"/>
    <x v="0"/>
    <x v="9"/>
    <x v="2"/>
    <x v="0"/>
    <x v="0"/>
    <x v="0"/>
    <x v="0"/>
    <x v="0"/>
    <x v="10"/>
    <x v="0"/>
    <x v="0"/>
    <x v="0"/>
    <x v="0"/>
    <x v="0"/>
    <x v="0"/>
    <x v="0"/>
    <x v="30"/>
    <x v="0"/>
    <x v="0"/>
    <x v="17"/>
    <x v="13"/>
  </r>
  <r>
    <x v="32"/>
    <x v="2"/>
    <x v="2"/>
    <x v="32"/>
    <x v="23"/>
    <x v="4"/>
    <x v="32"/>
    <x v="9"/>
    <x v="14"/>
    <x v="9"/>
    <x v="5"/>
    <x v="32"/>
    <x v="19"/>
    <x v="1"/>
    <x v="0"/>
    <x v="0"/>
    <x v="0"/>
    <x v="0"/>
    <x v="15"/>
    <x v="1"/>
    <x v="0"/>
    <x v="0"/>
    <x v="0"/>
    <x v="0"/>
    <x v="0"/>
    <x v="16"/>
    <x v="0"/>
    <x v="0"/>
    <x v="0"/>
    <x v="0"/>
    <x v="0"/>
    <x v="0"/>
    <x v="0"/>
    <x v="31"/>
    <x v="0"/>
    <x v="0"/>
    <x v="18"/>
    <x v="13"/>
  </r>
  <r>
    <x v="33"/>
    <x v="2"/>
    <x v="2"/>
    <x v="33"/>
    <x v="24"/>
    <x v="4"/>
    <x v="33"/>
    <x v="18"/>
    <x v="10"/>
    <x v="10"/>
    <x v="4"/>
    <x v="33"/>
    <x v="2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32"/>
    <x v="0"/>
    <x v="0"/>
    <x v="24"/>
    <x v="14"/>
  </r>
  <r>
    <x v="34"/>
    <x v="2"/>
    <x v="2"/>
    <x v="34"/>
    <x v="25"/>
    <x v="4"/>
    <x v="34"/>
    <x v="19"/>
    <x v="14"/>
    <x v="9"/>
    <x v="2"/>
    <x v="34"/>
    <x v="23"/>
    <x v="1"/>
    <x v="0"/>
    <x v="0"/>
    <x v="0"/>
    <x v="0"/>
    <x v="14"/>
    <x v="2"/>
    <x v="0"/>
    <x v="0"/>
    <x v="0"/>
    <x v="0"/>
    <x v="0"/>
    <x v="15"/>
    <x v="0"/>
    <x v="0"/>
    <x v="0"/>
    <x v="0"/>
    <x v="0"/>
    <x v="0"/>
    <x v="0"/>
    <x v="33"/>
    <x v="0"/>
    <x v="0"/>
    <x v="25"/>
    <x v="13"/>
  </r>
  <r>
    <x v="35"/>
    <x v="2"/>
    <x v="2"/>
    <x v="35"/>
    <x v="26"/>
    <x v="4"/>
    <x v="35"/>
    <x v="19"/>
    <x v="17"/>
    <x v="9"/>
    <x v="1"/>
    <x v="35"/>
    <x v="24"/>
    <x v="1"/>
    <x v="0"/>
    <x v="0"/>
    <x v="0"/>
    <x v="0"/>
    <x v="16"/>
    <x v="1"/>
    <x v="0"/>
    <x v="0"/>
    <x v="0"/>
    <x v="0"/>
    <x v="0"/>
    <x v="17"/>
    <x v="0"/>
    <x v="0"/>
    <x v="0"/>
    <x v="0"/>
    <x v="0"/>
    <x v="0"/>
    <x v="0"/>
    <x v="34"/>
    <x v="0"/>
    <x v="0"/>
    <x v="26"/>
    <x v="15"/>
  </r>
  <r>
    <x v="36"/>
    <x v="2"/>
    <x v="2"/>
    <x v="36"/>
    <x v="27"/>
    <x v="4"/>
    <x v="20"/>
    <x v="20"/>
    <x v="10"/>
    <x v="9"/>
    <x v="3"/>
    <x v="36"/>
    <x v="25"/>
    <x v="1"/>
    <x v="0"/>
    <x v="0"/>
    <x v="0"/>
    <x v="0"/>
    <x v="16"/>
    <x v="3"/>
    <x v="0"/>
    <x v="0"/>
    <x v="0"/>
    <x v="0"/>
    <x v="0"/>
    <x v="17"/>
    <x v="0"/>
    <x v="0"/>
    <x v="0"/>
    <x v="0"/>
    <x v="0"/>
    <x v="0"/>
    <x v="0"/>
    <x v="35"/>
    <x v="0"/>
    <x v="0"/>
    <x v="18"/>
    <x v="15"/>
  </r>
  <r>
    <x v="37"/>
    <x v="2"/>
    <x v="2"/>
    <x v="37"/>
    <x v="28"/>
    <x v="4"/>
    <x v="36"/>
    <x v="1"/>
    <x v="3"/>
    <x v="0"/>
    <x v="4"/>
    <x v="37"/>
    <x v="1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36"/>
    <x v="0"/>
    <x v="0"/>
    <x v="27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  <r>
    <x v="38"/>
    <x v="4"/>
    <x v="4"/>
    <x v="37"/>
    <x v="29"/>
    <x v="5"/>
    <x v="37"/>
    <x v="21"/>
    <x v="18"/>
    <x v="11"/>
    <x v="6"/>
    <x v="38"/>
    <x v="26"/>
    <x v="5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13"/>
    <x v="1"/>
    <x v="0"/>
    <x v="4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4" cacheId="0" dataOnRows="1" applyNumberFormats="0" applyBorderFormats="0" applyFontFormats="0" applyPatternFormats="0" applyAlignmentFormats="0" applyWidthHeightFormats="0" dataCaption="Valores" missingCaption="" updatedVersion="4" minRefreshableVersion="3" createdVersion="4" indent="0">
  <location ref="AC9:AG23" firstHeaderRow="1" firstDataRow="2" firstDataCol="2"/>
  <pivotFields count="38">
    <pivotField compact="0" showAll="0" includeNewItemsInFilter="1" sortType="ascending">
      <items count="40">
        <item x="37"/>
        <item x="0"/>
        <item x="36"/>
        <item x="35"/>
        <item x="34"/>
        <item x="4"/>
        <item x="33"/>
        <item x="3"/>
        <item x="32"/>
        <item x="2"/>
        <item x="1"/>
        <item x="25"/>
        <item x="6"/>
        <item x="30"/>
        <item x="8"/>
        <item x="26"/>
        <item x="24"/>
        <item x="22"/>
        <item x="27"/>
        <item x="12"/>
        <item x="13"/>
        <item x="20"/>
        <item x="15"/>
        <item x="31"/>
        <item x="19"/>
        <item x="29"/>
        <item x="23"/>
        <item x="9"/>
        <item x="11"/>
        <item x="28"/>
        <item x="5"/>
        <item x="18"/>
        <item x="17"/>
        <item x="16"/>
        <item x="14"/>
        <item x="10"/>
        <item x="21"/>
        <item x="7"/>
        <item x="38"/>
        <item t="default"/>
      </items>
    </pivotField>
    <pivotField axis="axisRow" compact="0" showAll="0" includeNewItemsInFilter="1" sortType="ascending">
      <items count="6">
        <item x="2"/>
        <item x="0"/>
        <item x="1"/>
        <item x="3"/>
        <item x="4"/>
        <item t="default"/>
      </items>
    </pivotField>
    <pivotField dataField="1" compact="0" showAll="0" includeNewItemsInFilter="1" sortType="ascending">
      <items count="6">
        <item x="3"/>
        <item x="2"/>
        <item x="0"/>
        <item x="1"/>
        <item x="4"/>
        <item t="default"/>
      </items>
    </pivotField>
    <pivotField compact="0" showAll="0" includeNewItemsInFilter="1" sortType="ascending">
      <items count="39"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4"/>
        <item x="17"/>
        <item x="16"/>
        <item x="6"/>
        <item x="5"/>
        <item x="3"/>
        <item x="15"/>
        <item x="12"/>
        <item x="10"/>
        <item x="0"/>
        <item x="1"/>
        <item x="2"/>
        <item x="23"/>
        <item x="22"/>
        <item x="21"/>
        <item x="20"/>
        <item x="19"/>
        <item x="18"/>
        <item x="9"/>
        <item x="13"/>
        <item x="14"/>
        <item x="8"/>
        <item x="7"/>
        <item x="11"/>
        <item x="37"/>
        <item t="default"/>
      </items>
    </pivotField>
    <pivotField compact="0" showAll="0" includeNewItemsInFilter="1" sortType="ascending">
      <items count="31">
        <item x="0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1"/>
        <item x="10"/>
        <item x="9"/>
        <item x="8"/>
        <item x="7"/>
        <item x="6"/>
        <item x="5"/>
        <item x="4"/>
        <item x="3"/>
        <item x="2"/>
        <item x="12"/>
        <item x="1"/>
        <item x="29"/>
        <item t="default"/>
      </items>
    </pivotField>
    <pivotField axis="axisRow" compact="0" showAll="0" includeNewItemsInFilter="1" sortType="ascending">
      <items count="7">
        <item x="4"/>
        <item x="0"/>
        <item x="3"/>
        <item x="2"/>
        <item x="1"/>
        <item x="5"/>
        <item t="default"/>
      </items>
    </pivotField>
    <pivotField compact="0" showAll="0" includeNewItemsInFilter="1" sortType="ascending">
      <items count="39">
        <item x="36"/>
        <item x="35"/>
        <item x="34"/>
        <item x="33"/>
        <item x="32"/>
        <item x="31"/>
        <item x="30"/>
        <item x="29"/>
        <item x="28"/>
        <item x="27"/>
        <item x="6"/>
        <item x="26"/>
        <item x="25"/>
        <item x="23"/>
        <item x="20"/>
        <item x="21"/>
        <item x="19"/>
        <item x="11"/>
        <item x="9"/>
        <item x="0"/>
        <item x="3"/>
        <item x="15"/>
        <item x="22"/>
        <item x="2"/>
        <item x="18"/>
        <item x="24"/>
        <item x="1"/>
        <item x="10"/>
        <item x="4"/>
        <item x="5"/>
        <item x="16"/>
        <item x="12"/>
        <item x="14"/>
        <item x="13"/>
        <item x="17"/>
        <item x="8"/>
        <item x="7"/>
        <item x="37"/>
        <item t="default"/>
      </items>
    </pivotField>
    <pivotField compact="0" showAll="0" includeNewItemsInFilter="1" sortType="ascending">
      <items count="23">
        <item x="20"/>
        <item x="14"/>
        <item x="9"/>
        <item x="19"/>
        <item x="12"/>
        <item x="16"/>
        <item x="0"/>
        <item x="18"/>
        <item x="11"/>
        <item x="2"/>
        <item x="8"/>
        <item x="1"/>
        <item x="7"/>
        <item x="17"/>
        <item x="3"/>
        <item x="13"/>
        <item x="4"/>
        <item x="15"/>
        <item x="5"/>
        <item x="10"/>
        <item x="6"/>
        <item x="21"/>
        <item t="default"/>
      </items>
    </pivotField>
    <pivotField compact="0" showAll="0" includeNewItemsInFilter="1" sortType="ascending">
      <items count="20">
        <item x="0"/>
        <item x="1"/>
        <item x="15"/>
        <item x="11"/>
        <item x="3"/>
        <item x="14"/>
        <item x="2"/>
        <item x="13"/>
        <item x="5"/>
        <item x="7"/>
        <item x="17"/>
        <item x="10"/>
        <item x="12"/>
        <item x="9"/>
        <item x="6"/>
        <item x="8"/>
        <item x="4"/>
        <item x="16"/>
        <item x="18"/>
        <item t="default"/>
      </items>
    </pivotField>
    <pivotField compact="0" showAll="0" includeNewItemsInFilter="1" sortType="ascending">
      <items count="13">
        <item x="10"/>
        <item x="9"/>
        <item x="6"/>
        <item x="0"/>
        <item x="8"/>
        <item x="1"/>
        <item x="4"/>
        <item x="2"/>
        <item x="5"/>
        <item x="7"/>
        <item x="3"/>
        <item x="11"/>
        <item t="default"/>
      </items>
    </pivotField>
    <pivotField compact="0" showAll="0" includeNewItemsInFilter="1" sortType="ascending">
      <items count="8">
        <item x="4"/>
        <item x="3"/>
        <item x="0"/>
        <item x="1"/>
        <item x="2"/>
        <item x="5"/>
        <item x="6"/>
        <item t="default"/>
      </items>
    </pivotField>
    <pivotField compact="0" showAll="0" includeNewItemsInFilter="1" sortType="ascending">
      <items count="40">
        <item x="33"/>
        <item x="24"/>
        <item x="36"/>
        <item x="19"/>
        <item x="27"/>
        <item x="32"/>
        <item x="37"/>
        <item x="26"/>
        <item x="30"/>
        <item x="29"/>
        <item x="28"/>
        <item x="31"/>
        <item x="34"/>
        <item x="0"/>
        <item x="1"/>
        <item x="6"/>
        <item x="18"/>
        <item x="16"/>
        <item x="13"/>
        <item x="17"/>
        <item x="21"/>
        <item x="23"/>
        <item x="22"/>
        <item x="20"/>
        <item x="3"/>
        <item x="5"/>
        <item x="25"/>
        <item x="12"/>
        <item x="8"/>
        <item x="7"/>
        <item x="15"/>
        <item x="4"/>
        <item x="14"/>
        <item x="11"/>
        <item x="2"/>
        <item x="9"/>
        <item x="35"/>
        <item x="10"/>
        <item x="38"/>
        <item t="default"/>
      </items>
    </pivotField>
    <pivotField compact="0" showAll="0" includeNewItemsInFilter="1" sortType="ascending">
      <items count="28">
        <item x="6"/>
        <item x="0"/>
        <item x="1"/>
        <item x="25"/>
        <item x="15"/>
        <item x="8"/>
        <item x="3"/>
        <item x="4"/>
        <item x="24"/>
        <item x="23"/>
        <item x="13"/>
        <item x="21"/>
        <item x="22"/>
        <item x="18"/>
        <item x="19"/>
        <item x="11"/>
        <item x="7"/>
        <item x="16"/>
        <item x="20"/>
        <item x="14"/>
        <item x="10"/>
        <item x="2"/>
        <item x="9"/>
        <item x="12"/>
        <item x="17"/>
        <item x="5"/>
        <item x="26"/>
        <item t="default"/>
      </items>
    </pivotField>
    <pivotField compact="0" showAll="0" includeNewItemsInFilter="1" sortType="ascending">
      <items count="7">
        <item x="2"/>
        <item x="0"/>
        <item x="1"/>
        <item x="3"/>
        <item x="4"/>
        <item x="5"/>
        <item t="default"/>
      </items>
    </pivotField>
    <pivotField compact="0" showAll="0" includeNewItemsInFilter="1" sortType="ascending">
      <items count="3">
        <item x="0"/>
        <item x="1"/>
        <item t="default"/>
      </items>
    </pivotField>
    <pivotField compact="0" showAll="0" includeNewItemsInFilter="1" sortType="ascending">
      <items count="3">
        <item x="0"/>
        <item x="1"/>
        <item t="default"/>
      </items>
    </pivotField>
    <pivotField compact="0" showAll="0" includeNewItemsInFilter="1" sortType="ascending">
      <items count="3">
        <item x="0"/>
        <item x="1"/>
        <item t="default"/>
      </items>
    </pivotField>
    <pivotField compact="0" showAll="0" includeNewItemsInFilter="1" sortType="ascending">
      <items count="4">
        <item x="0"/>
        <item x="2"/>
        <item x="1"/>
        <item t="default"/>
      </items>
    </pivotField>
    <pivotField compact="0" showAll="0" includeNewItemsInFilter="1" sortType="ascending">
      <items count="18">
        <item x="0"/>
        <item x="4"/>
        <item x="8"/>
        <item x="10"/>
        <item x="3"/>
        <item x="1"/>
        <item x="7"/>
        <item x="5"/>
        <item x="6"/>
        <item x="11"/>
        <item x="9"/>
        <item x="2"/>
        <item x="12"/>
        <item x="14"/>
        <item x="13"/>
        <item x="16"/>
        <item x="15"/>
        <item t="default"/>
      </items>
    </pivotField>
    <pivotField compact="0" showAll="0" includeNewItemsInFilter="1" sortType="ascending">
      <items count="6">
        <item x="0"/>
        <item x="3"/>
        <item x="4"/>
        <item x="2"/>
        <item x="1"/>
        <item t="default"/>
      </items>
    </pivotField>
    <pivotField compact="0" showAll="0" includeNewItemsInFilter="1" sortType="ascending">
      <items count="3">
        <item x="0"/>
        <item x="1"/>
        <item t="default"/>
      </items>
    </pivotField>
    <pivotField compact="0" showAll="0" includeNewItemsInFilter="1" sortType="ascending">
      <items count="3">
        <item x="0"/>
        <item x="1"/>
        <item t="default"/>
      </items>
    </pivotField>
    <pivotField compact="0" showAll="0" includeNewItemsInFilter="1" sortType="ascending">
      <items count="4">
        <item x="0"/>
        <item x="1"/>
        <item x="2"/>
        <item t="default"/>
      </items>
    </pivotField>
    <pivotField compact="0" showAll="0" includeNewItemsInFilter="1" sortType="ascending">
      <items count="4">
        <item x="0"/>
        <item x="2"/>
        <item x="1"/>
        <item t="default"/>
      </items>
    </pivotField>
    <pivotField compact="0" showAll="0" includeNewItemsInFilter="1" sortType="ascending">
      <items count="5">
        <item x="0"/>
        <item x="3"/>
        <item x="1"/>
        <item x="2"/>
        <item t="default"/>
      </items>
    </pivotField>
    <pivotField compact="0" showAll="0" includeNewItemsInFilter="1" sortType="ascending">
      <items count="19">
        <item x="0"/>
        <item x="17"/>
        <item x="16"/>
        <item x="15"/>
        <item x="14"/>
        <item x="13"/>
        <item x="12"/>
        <item x="11"/>
        <item x="10"/>
        <item x="9"/>
        <item x="7"/>
        <item x="8"/>
        <item x="1"/>
        <item x="2"/>
        <item x="6"/>
        <item x="3"/>
        <item x="4"/>
        <item x="5"/>
        <item t="default"/>
      </items>
    </pivotField>
    <pivotField compact="0" showAll="0" includeNewItemsInFilter="1" sortType="ascending">
      <items count="7">
        <item x="0"/>
        <item x="5"/>
        <item x="3"/>
        <item x="2"/>
        <item x="4"/>
        <item x="1"/>
        <item t="default"/>
      </items>
    </pivotField>
    <pivotField compact="0" showAll="0" includeNewItemsInFilter="1" sortType="ascending">
      <items count="4">
        <item x="0"/>
        <item x="1"/>
        <item x="2"/>
        <item t="default"/>
      </items>
    </pivotField>
    <pivotField compact="0" showAll="0" includeNewItemsInFilter="1" sortType="ascending">
      <items count="6">
        <item x="0"/>
        <item x="1"/>
        <item x="4"/>
        <item x="2"/>
        <item x="3"/>
        <item t="default"/>
      </items>
    </pivotField>
    <pivotField compact="0" showAll="0" includeNewItemsInFilter="1" sortType="ascending">
      <items count="6">
        <item x="0"/>
        <item x="1"/>
        <item x="2"/>
        <item x="3"/>
        <item x="4"/>
        <item t="default"/>
      </items>
    </pivotField>
    <pivotField compact="0" showAll="0" includeNewItemsInFilter="1" sortType="ascending">
      <items count="4">
        <item x="0"/>
        <item x="1"/>
        <item x="2"/>
        <item t="default"/>
      </items>
    </pivotField>
    <pivotField axis="axisCol" compact="0" showAll="0" includeNewItemsInFilter="1" sortType="ascending">
      <items count="3">
        <item x="0"/>
        <item x="1"/>
        <item t="default"/>
      </items>
    </pivotField>
    <pivotField compact="0" showAll="0" includeNewItemsInFilter="1" sortType="ascending">
      <items count="7">
        <item x="0"/>
        <item x="5"/>
        <item x="1"/>
        <item x="4"/>
        <item x="3"/>
        <item x="2"/>
        <item t="default"/>
      </items>
    </pivotField>
    <pivotField compact="0" showAll="0" includeNewItemsInFilter="1" sortType="ascending">
      <items count="38">
        <item x="32"/>
        <item x="36"/>
        <item x="34"/>
        <item x="16"/>
        <item x="27"/>
        <item x="30"/>
        <item x="35"/>
        <item x="23"/>
        <item x="26"/>
        <item x="31"/>
        <item x="25"/>
        <item x="28"/>
        <item x="29"/>
        <item x="10"/>
        <item x="4"/>
        <item x="17"/>
        <item x="13"/>
        <item x="1"/>
        <item x="18"/>
        <item x="11"/>
        <item x="21"/>
        <item x="15"/>
        <item x="3"/>
        <item x="0"/>
        <item x="14"/>
        <item x="22"/>
        <item x="6"/>
        <item x="2"/>
        <item x="5"/>
        <item x="12"/>
        <item x="20"/>
        <item x="7"/>
        <item x="8"/>
        <item x="24"/>
        <item x="9"/>
        <item x="33"/>
        <item x="19"/>
        <item t="default"/>
      </items>
    </pivotField>
    <pivotField compact="0" showAll="0" includeNewItemsInFilter="1" sortType="ascending">
      <items count="9">
        <item x="7"/>
        <item x="6"/>
        <item x="4"/>
        <item x="1"/>
        <item x="0"/>
        <item x="5"/>
        <item x="2"/>
        <item x="3"/>
        <item t="default"/>
      </items>
    </pivotField>
    <pivotField compact="0" showAll="0" includeNewItemsInFilter="1" sortType="ascending">
      <items count="4">
        <item x="0"/>
        <item x="1"/>
        <item x="2"/>
        <item t="default"/>
      </items>
    </pivotField>
    <pivotField compact="0" showAll="0" includeNewItemsInFilter="1" sortType="ascending">
      <items count="29">
        <item x="0"/>
        <item x="1"/>
        <item x="5"/>
        <item x="2"/>
        <item x="4"/>
        <item x="3"/>
        <item x="6"/>
        <item x="8"/>
        <item x="7"/>
        <item x="17"/>
        <item x="10"/>
        <item x="20"/>
        <item x="11"/>
        <item x="19"/>
        <item x="12"/>
        <item x="24"/>
        <item x="18"/>
        <item x="16"/>
        <item x="9"/>
        <item x="15"/>
        <item x="14"/>
        <item x="27"/>
        <item x="25"/>
        <item x="26"/>
        <item x="22"/>
        <item x="21"/>
        <item x="23"/>
        <item x="13"/>
        <item t="default"/>
      </items>
    </pivotField>
    <pivotField compact="0" showAll="0" includeNewItemsInFilter="1" sortType="ascending">
      <items count="17">
        <item x="0"/>
        <item x="1"/>
        <item x="11"/>
        <item x="2"/>
        <item x="3"/>
        <item x="4"/>
        <item x="5"/>
        <item x="8"/>
        <item x="7"/>
        <item x="12"/>
        <item x="6"/>
        <item x="9"/>
        <item x="10"/>
        <item x="13"/>
        <item x="15"/>
        <item x="14"/>
        <item t="default"/>
      </items>
    </pivotField>
  </pivotFields>
  <rowFields count="2">
    <field x="1"/>
    <field x="5"/>
  </rowFields>
  <colFields count="1">
    <field x="31"/>
  </colFields>
  <dataFields count="1">
    <dataField name="Cont.Núm - Tipo" fld="2" subtotal="count" baseField="0" baseItem="0"/>
  </dataFields>
  <pivotTableStyleInfo showRowHeaders="0" showColHeaders="0" showRowStripes="0" showColStripes="0" showLastColumn="0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ela1" displayName="Tabela1" ref="B5:AO250" totalsRowShown="0">
  <autoFilter ref="B5:AO250"/>
  <tableColumns count="40">
    <tableColumn id="1" name="Nº" totalsRowLabel="Total"/>
    <tableColumn id="2" name="Processo"/>
    <tableColumn id="3" name="Modalidade"/>
    <tableColumn id="4" name="Tipo"/>
    <tableColumn id="5" name="Edital"/>
    <tableColumn id="6" name="IRP"/>
    <tableColumn id="7" name="Categoria"/>
    <tableColumn id="8" name="Objeto"/>
    <tableColumn id="9" name="Unidade"/>
    <tableColumn id="10" name="Data do trâmite"/>
    <tableColumn id="11" name="Movimentação"/>
    <tableColumn id="12" name="Responsável"/>
    <tableColumn id="13" name="Valor estimado"/>
    <tableColumn id="14" name="Qtde de itens _x000a_licitados"/>
    <tableColumn id="15" name="Grupos/lotes"/>
    <tableColumn id="16" name="Impugnado"/>
    <tableColumn id="17" name="Pertinente"/>
    <tableColumn id="18" name="Houve?"/>
    <tableColumn id="19" name="Ato judicial?"/>
    <tableColumn id="20" name="Data de_x000a_abertura"/>
    <tableColumn id="21" name="Horário"/>
    <tableColumn id="22" name="Solicitado"/>
    <tableColumn id="23" name="Pertinente2"/>
    <tableColumn id="24" name="Motivo"/>
    <tableColumn id="25" name="Retorno de fase"/>
    <tableColumn id="26" name="Data de homologação"/>
    <tableColumn id="27" name="Prazo"/>
    <tableColumn id="28" name="Itens homologados"/>
    <tableColumn id="29" name="Quantidade"/>
    <tableColumn id="30" name="Valor"/>
    <tableColumn id="31" name="Motivo2"/>
    <tableColumn id="32" name="Quantidade2"/>
    <tableColumn id="33" name="Valor2"/>
    <tableColumn id="34" name="Valor adjudicado"/>
    <tableColumn id="35" name="Economicidade"/>
    <tableColumn id="36" name="%"/>
    <tableColumn id="37" name="Status"/>
    <tableColumn id="38" name="Data de abertura"/>
    <tableColumn id="39" name="Data de aprovação"/>
    <tableColumn id="40" name="Tempo" totalsRowFunction="sum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0" name="Tabela18" displayName="Tabela18" ref="H336:I341" headerRowCount="0" totalsRowShown="0">
  <tableColumns count="2">
    <tableColumn id="1" name="Colunas1" totalsRowLabel="Total"/>
    <tableColumn id="2" name="Colunas2" totalsRowFunction="sum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11" name="Tabela2" displayName="Tabela2" ref="H34:J40" headerRowCount="0" totalsRowShown="0">
  <tableColumns count="3">
    <tableColumn id="1" name="Colunas1" totalsRowLabel="Total"/>
    <tableColumn id="2" name="Colunas2"/>
    <tableColumn id="3" name="Colunas3" totalsRowFunction="sum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12" name="Tabela79" displayName="Tabela79" ref="M266:V272" headerRowCount="0" totalsRowShown="0">
  <tableColumns count="10">
    <tableColumn id="1" name="Colunas1" totalsRowLabel="Total"/>
    <tableColumn id="2" name="Colunas2"/>
    <tableColumn id="3" name="Colunas3"/>
    <tableColumn id="4" name="Colunas4"/>
    <tableColumn id="5" name="Colunas5"/>
    <tableColumn id="6" name="Colunas6"/>
    <tableColumn id="7" name="Colunas7"/>
    <tableColumn id="8" name="Colunas8"/>
    <tableColumn id="9" name="Colunas9"/>
    <tableColumn id="10" name="Colunas10" totalsRowFunction="sum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13" name="Tabela4" displayName="Tabela4" ref="H155:K160" headerRowCount="0" totalsRowCount="1">
  <tableColumns count="4">
    <tableColumn id="1" name="Colunas1" totalsRowLabel="Total"/>
    <tableColumn id="2" name="Colunas2" totalsRowFunction="custom">
      <totalsRowFormula>SUM(Tabela4[Colunas2])</totalsRowFormula>
    </tableColumn>
    <tableColumn id="3" name="Colunas3" totalsRowFunction="custom">
      <totalsRowFormula>SUM(Tabela4[Colunas3])</totalsRowFormula>
    </tableColumn>
    <tableColumn id="4" name="Colunas4" totalsRowFunction="custom">
      <totalsRowFormula>SUM(Tabela4[[#Totals],[Colunas3]]/Tabela4[[#Totals],[Colunas2]])</totalsRowFormula>
    </tableColumn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14" name="Tabela5" displayName="Tabela5" ref="H162:K167" headerRowCount="0" totalsRowShown="0">
  <tableColumns count="4">
    <tableColumn id="1" name="Colunas1" totalsRowLabel="Total"/>
    <tableColumn id="2" name="Colunas2"/>
    <tableColumn id="3" name="Colunas3"/>
    <tableColumn id="4" name="Colunas4" totalsRowFunction="sum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15" name="Tabela6" displayName="Tabela6" ref="H252:K258" headerRowCount="0" totalsRowShown="0">
  <tableColumns count="4">
    <tableColumn id="1" name="Colunas1" totalsRowLabel="Total"/>
    <tableColumn id="2" name="Colunas2"/>
    <tableColumn id="3" name="Colunas3"/>
    <tableColumn id="4" name="Colunas4" totalsRowFunction="sum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16" name="Tabela3" displayName="Tabela3" ref="H54:J58" headerRowCount="0" totalsRowShown="0">
  <tableColumns count="3">
    <tableColumn id="1" name="Colunas1" totalsRowLabel="Total"/>
    <tableColumn id="2" name="Colunas2"/>
    <tableColumn id="3" name="Colunas3" totalsRowFunction="sum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17" name="Tabela7" displayName="Tabela7" ref="H288:I289" headerRowCount="0" totalsRowShown="0">
  <tableColumns count="2">
    <tableColumn id="1" name="Colunas1" totalsRowLabel="Total"/>
    <tableColumn id="2" name="Colunas2" totalsRowFunction="sum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18" name="Tabela9" displayName="Tabela9" ref="H75:I77" headerRowCount="0" totalsRowShown="0">
  <tableColumns count="2">
    <tableColumn id="1" name="Colunas1" totalsRowLabel="Total"/>
    <tableColumn id="2" name="Colunas2" totalsRowFunction="sum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ela10" displayName="Tabela10" ref="H293:I294" headerRowCount="0" totalsRowShown="0">
  <tableColumns count="2">
    <tableColumn id="1" name="Colunas1" totalsRowLabel="Total"/>
    <tableColumn id="2" name="Colunas2" totalsRowFunction="sum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ela12" displayName="Tabela12" ref="H103:J108" headerRowCount="0" totalsRowShown="0">
  <tableColumns count="3">
    <tableColumn id="1" name="Colunas1" totalsRowLabel="Total"/>
    <tableColumn id="2" name="Colunas2"/>
    <tableColumn id="3" name="Colunas3" totalsRowFunction="sum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Tabela16" displayName="Tabela16" ref="H314:I319" headerRowCount="0" totalsRowShown="0">
  <tableColumns count="2">
    <tableColumn id="1" name="Colunas1" totalsRowLabel="Total"/>
    <tableColumn id="2" name="Colunas2" totalsRowFunction="sum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Tabela13" displayName="Tabela13" ref="C132:D134" headerRowCount="0" totalsRowShown="0">
  <tableColumns count="2">
    <tableColumn id="1" name="Colunas1" totalsRowLabel="Total"/>
    <tableColumn id="2" name="Colunas2" totalsRowFunction="sum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6" name="Tabela14" displayName="Tabela14" ref="H177:J238" headerRowCount="0" totalsRowShown="0">
  <tableColumns count="3">
    <tableColumn id="1" name="Colunas1" totalsRowLabel="Total"/>
    <tableColumn id="2" name="Colunas2"/>
    <tableColumn id="3" name="Colunas3" totalsRowFunction="sum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7" name="Tabela15" displayName="Tabela15" ref="H306:I311" headerRowCount="0" totalsRowShown="0">
  <tableColumns count="2">
    <tableColumn id="1" name="Colunas1" totalsRowLabel="Total"/>
    <tableColumn id="2" name="Colunas2" totalsRowFunction="sum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8" name="Tabela11" displayName="Tabela11" ref="H94:J99" headerRowCount="0" totalsRowShown="0">
  <tableColumns count="3">
    <tableColumn id="1" name="Colunas1" totalsRowLabel="Total"/>
    <tableColumn id="2" name="Colunas2"/>
    <tableColumn id="3" name="Colunas3" totalsRowFunction="sum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9" name="Tabela17" displayName="Tabela17" ref="H328:I333" headerRowCount="0" totalsRowShown="0">
  <tableColumns count="2">
    <tableColumn id="1" name="Colunas1" totalsRowLabel="Total"/>
    <tableColumn id="2" name="Colunas2" totalsRowFunction="sum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drawing" Target="../drawings/drawing3.xml"/><Relationship Id="rId16" Type="http://schemas.openxmlformats.org/officeDocument/2006/relationships/table" Target="../tables/table15.xml"/><Relationship Id="rId1" Type="http://schemas.openxmlformats.org/officeDocument/2006/relationships/pivotTable" Target="../pivotTables/pivotTable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showGridLines="0" tabSelected="1" zoomScale="70" workbookViewId="0">
      <selection activeCell="A42" sqref="A42"/>
    </sheetView>
  </sheetViews>
  <sheetFormatPr defaultRowHeight="15" x14ac:dyDescent="0.25"/>
  <sheetData>
    <row r="1" spans="1:30" x14ac:dyDescent="0.25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x14ac:dyDescent="0.25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x14ac:dyDescent="0.25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x14ac:dyDescent="0.25">
      <c r="A4" s="1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x14ac:dyDescent="0.25">
      <c r="A5" s="1"/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x14ac:dyDescent="0.25">
      <c r="A6" s="1"/>
      <c r="B6" s="1"/>
      <c r="C6" s="1"/>
      <c r="D6" s="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x14ac:dyDescent="0.25">
      <c r="A7" s="1"/>
      <c r="B7" s="1"/>
      <c r="C7" s="1"/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x14ac:dyDescent="0.25">
      <c r="A8" s="1"/>
      <c r="B8" s="1"/>
      <c r="C8" s="1"/>
      <c r="D8" s="1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x14ac:dyDescent="0.25">
      <c r="A9" s="1"/>
      <c r="B9" s="1"/>
      <c r="C9" s="1"/>
      <c r="D9" s="1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x14ac:dyDescent="0.25">
      <c r="A10" s="1"/>
      <c r="B10" s="1"/>
      <c r="C10" s="1"/>
      <c r="D10" s="1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x14ac:dyDescent="0.25">
      <c r="A11" s="1"/>
      <c r="B11" s="1"/>
      <c r="C11" s="1"/>
      <c r="D11" s="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x14ac:dyDescent="0.25">
      <c r="A12" s="1"/>
      <c r="B12" s="1"/>
      <c r="C12" s="1"/>
      <c r="D12" s="1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x14ac:dyDescent="0.25">
      <c r="A13" s="1"/>
      <c r="B13" s="1"/>
      <c r="C13" s="1"/>
      <c r="D13" s="1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x14ac:dyDescent="0.25">
      <c r="A14" s="1"/>
      <c r="B14" s="1"/>
      <c r="C14" s="1"/>
      <c r="D14" s="1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x14ac:dyDescent="0.25">
      <c r="A15" s="1"/>
      <c r="B15" s="1"/>
      <c r="C15" s="1"/>
      <c r="D15" s="1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x14ac:dyDescent="0.25">
      <c r="A16" s="1"/>
      <c r="B16" s="1"/>
      <c r="C16" s="1"/>
      <c r="D16" s="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x14ac:dyDescent="0.25">
      <c r="A17" s="1"/>
      <c r="B17" s="1"/>
      <c r="C17" s="1"/>
      <c r="D17" s="1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x14ac:dyDescent="0.25">
      <c r="A18" s="1"/>
      <c r="B18" s="1"/>
      <c r="C18" s="1"/>
      <c r="D18" s="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x14ac:dyDescent="0.25">
      <c r="A19" s="1"/>
      <c r="B19" s="1"/>
      <c r="C19" s="1"/>
      <c r="D19" s="1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x14ac:dyDescent="0.25">
      <c r="A20" s="1"/>
      <c r="B20" s="1"/>
      <c r="C20" s="1"/>
      <c r="D20" s="1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x14ac:dyDescent="0.25">
      <c r="A21" s="1"/>
      <c r="B21" s="1"/>
      <c r="C21" s="1"/>
      <c r="D21" s="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x14ac:dyDescent="0.25">
      <c r="A22" s="1"/>
      <c r="B22" s="1"/>
      <c r="C22" s="1"/>
      <c r="D22" s="1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x14ac:dyDescent="0.25">
      <c r="A23" s="1"/>
      <c r="B23" s="1"/>
      <c r="C23" s="1"/>
      <c r="D23" s="1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x14ac:dyDescent="0.25">
      <c r="A24" s="1"/>
      <c r="B24" s="1"/>
      <c r="C24" s="1"/>
      <c r="D24" s="1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x14ac:dyDescent="0.25">
      <c r="A25" s="1"/>
      <c r="B25" s="1"/>
      <c r="C25" s="1"/>
      <c r="D25" s="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x14ac:dyDescent="0.25">
      <c r="A26" s="1"/>
      <c r="B26" s="1"/>
      <c r="C26" s="1"/>
      <c r="D26" s="1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x14ac:dyDescent="0.25">
      <c r="A27" s="1"/>
      <c r="B27" s="1"/>
      <c r="C27" s="1"/>
      <c r="D27" s="1"/>
      <c r="E27" s="2"/>
      <c r="F27" s="249" t="s">
        <v>0</v>
      </c>
      <c r="G27" s="249"/>
      <c r="H27" s="249"/>
      <c r="I27" s="249"/>
      <c r="J27" s="249"/>
      <c r="K27" s="249"/>
      <c r="L27" s="249"/>
      <c r="M27" s="249"/>
      <c r="N27" s="249"/>
      <c r="O27" s="249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x14ac:dyDescent="0.25">
      <c r="A28" s="1"/>
      <c r="B28" s="1"/>
      <c r="C28" s="1"/>
      <c r="D28" s="1"/>
      <c r="E28" s="2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"/>
      <c r="Q28" s="2"/>
      <c r="R28" s="2"/>
      <c r="S28" s="2"/>
      <c r="T28" s="2"/>
      <c r="U28" s="2"/>
      <c r="V28" s="248">
        <f>COUNTIFS(Processos!H:H,"alienação")</f>
        <v>0</v>
      </c>
      <c r="W28" s="248"/>
      <c r="X28" s="3"/>
      <c r="Y28" s="248">
        <f>COUNTIFS(Processos!H:H,"alienação",Processos!AL:AL,"&lt;&gt;"&amp;"")</f>
        <v>0</v>
      </c>
      <c r="Z28" s="248"/>
      <c r="AA28" s="3"/>
      <c r="AB28" s="248">
        <f>V28-Y28</f>
        <v>0</v>
      </c>
      <c r="AC28" s="248"/>
      <c r="AD28" s="2"/>
    </row>
    <row r="29" spans="1:30" x14ac:dyDescent="0.25">
      <c r="A29" s="1"/>
      <c r="B29" s="1"/>
      <c r="C29" s="1"/>
      <c r="D29" s="1"/>
      <c r="E29" s="2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"/>
      <c r="Q29" s="2"/>
      <c r="R29" s="2"/>
      <c r="S29" s="2"/>
      <c r="T29" s="2"/>
      <c r="U29" s="2"/>
      <c r="V29" s="3"/>
      <c r="W29" s="3"/>
      <c r="X29" s="3"/>
      <c r="Y29" s="3"/>
      <c r="Z29" s="3"/>
      <c r="AA29" s="3"/>
      <c r="AB29" s="3"/>
      <c r="AC29" s="3"/>
      <c r="AD29" s="2"/>
    </row>
    <row r="30" spans="1:30" x14ac:dyDescent="0.25">
      <c r="A30" s="1"/>
      <c r="B30" s="1"/>
      <c r="C30" s="1"/>
      <c r="D30" s="1"/>
      <c r="E30" s="2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"/>
      <c r="Q30" s="2"/>
      <c r="R30" s="2"/>
      <c r="S30" s="2"/>
      <c r="T30" s="2"/>
      <c r="U30" s="2"/>
      <c r="V30" s="248">
        <f>COUNTIFS(Processos!H:H,"concessão")</f>
        <v>8</v>
      </c>
      <c r="W30" s="248"/>
      <c r="X30" s="3"/>
      <c r="Y30" s="248">
        <f>COUNTIFS(Processos!H:H,"concessão",Processos!AL:AL,"&lt;&gt;"&amp;"")</f>
        <v>0</v>
      </c>
      <c r="Z30" s="248"/>
      <c r="AA30" s="3"/>
      <c r="AB30" s="248">
        <f>V30-Y30</f>
        <v>8</v>
      </c>
      <c r="AC30" s="248"/>
      <c r="AD30" s="2"/>
    </row>
    <row r="31" spans="1:30" x14ac:dyDescent="0.25">
      <c r="A31" s="1"/>
      <c r="B31" s="1"/>
      <c r="C31" s="1"/>
      <c r="D31" s="1"/>
      <c r="E31" s="2"/>
      <c r="F31" s="4"/>
      <c r="G31" s="4"/>
      <c r="H31" s="4"/>
      <c r="I31" s="4"/>
      <c r="J31" s="4"/>
      <c r="K31" s="4"/>
      <c r="L31" s="4"/>
      <c r="M31" s="4"/>
      <c r="N31" s="4"/>
      <c r="O31" s="4"/>
      <c r="P31" s="2"/>
      <c r="Q31" s="2"/>
      <c r="R31" s="2"/>
      <c r="S31" s="2"/>
      <c r="T31" s="2"/>
      <c r="U31" s="2"/>
      <c r="V31" s="3"/>
      <c r="W31" s="3"/>
      <c r="X31" s="3"/>
      <c r="Y31" s="3"/>
      <c r="Z31" s="3"/>
      <c r="AA31" s="3"/>
      <c r="AB31" s="3"/>
      <c r="AC31" s="3"/>
      <c r="AD31" s="2"/>
    </row>
    <row r="32" spans="1:30" x14ac:dyDescent="0.25">
      <c r="A32" s="1"/>
      <c r="B32" s="1"/>
      <c r="C32" s="1"/>
      <c r="D32" s="1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48">
        <f>COUNTIFS(Processos!H:H,"consumo")</f>
        <v>42</v>
      </c>
      <c r="W32" s="248"/>
      <c r="X32" s="3"/>
      <c r="Y32" s="248">
        <f>COUNTIFS(Processos!H:H,"consumo",Processos!AL:AL,"&lt;&gt;"&amp;"")</f>
        <v>28</v>
      </c>
      <c r="Z32" s="248"/>
      <c r="AA32" s="3"/>
      <c r="AB32" s="248">
        <f>V32-Y32</f>
        <v>14</v>
      </c>
      <c r="AC32" s="248"/>
      <c r="AD32" s="2"/>
    </row>
    <row r="33" spans="1:30" x14ac:dyDescent="0.25">
      <c r="A33" s="1"/>
      <c r="B33" s="1"/>
      <c r="C33" s="1"/>
      <c r="D33" s="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R33" s="2"/>
      <c r="S33" s="2"/>
      <c r="T33" s="2"/>
      <c r="U33" s="2"/>
      <c r="V33" s="3"/>
      <c r="W33" s="3"/>
      <c r="X33" s="3"/>
      <c r="Y33" s="3"/>
      <c r="Z33" s="3"/>
      <c r="AA33" s="3"/>
      <c r="AB33" s="3"/>
      <c r="AC33" s="3"/>
      <c r="AD33" s="2"/>
    </row>
    <row r="34" spans="1:30" x14ac:dyDescent="0.25">
      <c r="A34" s="1"/>
      <c r="B34" s="1"/>
      <c r="C34" s="1"/>
      <c r="D34" s="1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48">
        <f>COUNTIFS(Processos!H:H,"Obra/Projeto")</f>
        <v>9</v>
      </c>
      <c r="W34" s="248"/>
      <c r="X34" s="3"/>
      <c r="Y34" s="248">
        <f>COUNTIFS(Processos!H:H,"obra/projeto",Processos!AL:AL,"&lt;&gt;"&amp;"")</f>
        <v>7</v>
      </c>
      <c r="Z34" s="248"/>
      <c r="AA34" s="3"/>
      <c r="AB34" s="248">
        <f>V34-Y34</f>
        <v>2</v>
      </c>
      <c r="AC34" s="248"/>
      <c r="AD34" s="2"/>
    </row>
    <row r="35" spans="1:30" x14ac:dyDescent="0.25">
      <c r="A35" s="1"/>
      <c r="B35" s="1"/>
      <c r="C35" s="1"/>
      <c r="D35" s="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3"/>
      <c r="W35" s="3"/>
      <c r="X35" s="3"/>
      <c r="Y35" s="3"/>
      <c r="Z35" s="3"/>
      <c r="AA35" s="3"/>
      <c r="AB35" s="3"/>
      <c r="AC35" s="3"/>
      <c r="AD35" s="2"/>
    </row>
    <row r="36" spans="1:30" x14ac:dyDescent="0.25">
      <c r="A36" s="1"/>
      <c r="B36" s="1"/>
      <c r="C36" s="1"/>
      <c r="D36" s="1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48">
        <f>COUNTIFS(Processos!H:H,"Permanente")</f>
        <v>14</v>
      </c>
      <c r="W36" s="248"/>
      <c r="X36" s="3"/>
      <c r="Y36" s="248">
        <f>COUNTIFS(Processos!H:H,"permanente",Processos!AL:AL,"&lt;&gt;"&amp;"")</f>
        <v>7</v>
      </c>
      <c r="Z36" s="248"/>
      <c r="AA36" s="3"/>
      <c r="AB36" s="248">
        <f>V36-Y36</f>
        <v>7</v>
      </c>
      <c r="AC36" s="248"/>
      <c r="AD36" s="2"/>
    </row>
    <row r="37" spans="1:30" x14ac:dyDescent="0.25">
      <c r="A37" s="1"/>
      <c r="B37" s="1"/>
      <c r="C37" s="1"/>
      <c r="D37" s="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3"/>
      <c r="W37" s="3"/>
      <c r="X37" s="3"/>
      <c r="Y37" s="3"/>
      <c r="Z37" s="3"/>
      <c r="AA37" s="3"/>
      <c r="AB37" s="3"/>
      <c r="AC37" s="3"/>
      <c r="AD37" s="2"/>
    </row>
    <row r="38" spans="1:30" x14ac:dyDescent="0.25">
      <c r="A38" s="1"/>
      <c r="B38" s="1"/>
      <c r="C38" s="1"/>
      <c r="D38" s="1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48">
        <f>COUNTIFS(Processos!H:H,"serviço")</f>
        <v>32</v>
      </c>
      <c r="W38" s="248"/>
      <c r="X38" s="3"/>
      <c r="Y38" s="248">
        <f>COUNTIFS(Processos!H:H,"serviço",Processos!AL:AL,"&lt;&gt;"&amp;"")</f>
        <v>12</v>
      </c>
      <c r="Z38" s="248"/>
      <c r="AA38" s="3"/>
      <c r="AB38" s="248">
        <f>V38-Y38</f>
        <v>20</v>
      </c>
      <c r="AC38" s="248"/>
      <c r="AD38" s="2"/>
    </row>
    <row r="39" spans="1:30" x14ac:dyDescent="0.25">
      <c r="A39" s="1"/>
      <c r="B39" s="1"/>
      <c r="C39" s="1"/>
      <c r="D39" s="1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x14ac:dyDescent="0.25">
      <c r="A40" s="1"/>
      <c r="B40" s="1"/>
      <c r="C40" s="1"/>
      <c r="D40" s="1"/>
      <c r="E40" s="6"/>
      <c r="F40" s="7" t="s">
        <v>1</v>
      </c>
      <c r="G40" s="6" t="s">
        <v>2</v>
      </c>
      <c r="H40" s="6"/>
      <c r="I40" s="6"/>
      <c r="J40" s="6"/>
      <c r="K40" s="6"/>
      <c r="L40" s="6"/>
      <c r="M40" s="7" t="s">
        <v>3</v>
      </c>
      <c r="N40" s="8">
        <v>2021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x14ac:dyDescent="0.25">
      <c r="A41" s="1"/>
      <c r="B41" s="1"/>
      <c r="C41" s="1"/>
      <c r="D41" s="1"/>
      <c r="E41" s="6"/>
      <c r="F41" s="7" t="s">
        <v>4</v>
      </c>
      <c r="G41" s="6" t="s">
        <v>5</v>
      </c>
      <c r="H41" s="6"/>
      <c r="I41" s="6"/>
      <c r="J41" s="6"/>
      <c r="K41" s="6"/>
      <c r="L41" s="6"/>
      <c r="M41" s="7" t="s">
        <v>6</v>
      </c>
      <c r="N41" s="8">
        <v>2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</sheetData>
  <sheetProtection algorithmName="SHA-512" hashValue="d68pnWMuF16FlweZbe3aCXVUfVpH4zXPVVFp09qCA09EKbaKlvj1Ok9rzhFGXu09XzGC+R/28kkPXrlQwzgdcw==" saltValue="V0oAawd7EEeLOV9GSjA8mw==" spinCount="100000" sheet="1" autoFilter="0"/>
  <mergeCells count="21">
    <mergeCell ref="F27:O28"/>
    <mergeCell ref="V28:W28"/>
    <mergeCell ref="Y28:Z28"/>
    <mergeCell ref="AB28:AC28"/>
    <mergeCell ref="F29:J30"/>
    <mergeCell ref="K29:O30"/>
    <mergeCell ref="V30:W30"/>
    <mergeCell ref="Y30:Z30"/>
    <mergeCell ref="AB30:AC30"/>
    <mergeCell ref="V32:W32"/>
    <mergeCell ref="Y32:Z32"/>
    <mergeCell ref="AB32:AC32"/>
    <mergeCell ref="V34:W34"/>
    <mergeCell ref="Y34:Z34"/>
    <mergeCell ref="AB34:AC34"/>
    <mergeCell ref="V36:W36"/>
    <mergeCell ref="Y36:Z36"/>
    <mergeCell ref="AB36:AC36"/>
    <mergeCell ref="V38:W38"/>
    <mergeCell ref="Y38:Z38"/>
    <mergeCell ref="AB38:AC38"/>
  </mergeCells>
  <pageMargins left="0.51180599999999998" right="0.51180599999999998" top="0.78749999999999998" bottom="0.78749999999999998" header="0.51180599999999998" footer="0.51180599999999998"/>
  <pageSetup paperSize="9" fitToWidth="0"/>
  <drawing r:id="rId1"/>
  <extLst>
    <ext uri="smNativeData">
      <pm:sheetPrefs xmlns:pm="smNativeData" day="1624570504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DD7EE"/>
  </sheetPr>
  <dimension ref="A1:AMJ250"/>
  <sheetViews>
    <sheetView zoomScaleNormal="100" workbookViewId="0">
      <pane xSplit="2" ySplit="5" topLeftCell="C6" activePane="bottomRight" state="frozen"/>
      <selection pane="topRight"/>
      <selection pane="bottomLeft"/>
      <selection pane="bottomRight" activeCell="A5" sqref="A5"/>
    </sheetView>
  </sheetViews>
  <sheetFormatPr defaultRowHeight="16.5" x14ac:dyDescent="0.3"/>
  <cols>
    <col min="1" max="1" width="0.85546875" style="9" customWidth="1"/>
    <col min="2" max="2" width="5.5703125" style="10" customWidth="1"/>
    <col min="3" max="3" width="18" style="11" customWidth="1"/>
    <col min="4" max="4" width="24.5703125" style="11" customWidth="1"/>
    <col min="5" max="5" width="10.85546875" style="11" customWidth="1"/>
    <col min="6" max="6" width="12.140625" style="11" customWidth="1"/>
    <col min="7" max="7" width="17.28515625" style="11" customWidth="1"/>
    <col min="8" max="8" width="15.7109375" style="11" customWidth="1"/>
    <col min="9" max="9" width="88.28515625" style="11" customWidth="1"/>
    <col min="10" max="10" width="14.28515625" style="11" customWidth="1"/>
    <col min="11" max="11" width="13.28515625" style="11" customWidth="1"/>
    <col min="12" max="12" width="50.5703125" style="9" customWidth="1"/>
    <col min="13" max="13" width="17.7109375" style="11" customWidth="1"/>
    <col min="14" max="14" width="22.28515625" style="12" customWidth="1"/>
    <col min="15" max="15" width="18.7109375" style="9" customWidth="1"/>
    <col min="16" max="16" width="16" style="11" customWidth="1"/>
    <col min="17" max="18" width="14" style="11" customWidth="1"/>
    <col min="19" max="19" width="9.7109375" style="11" customWidth="1"/>
    <col min="20" max="20" width="14" style="11" customWidth="1"/>
    <col min="21" max="21" width="17.5703125" style="11" customWidth="1"/>
    <col min="22" max="22" width="9.7109375" style="9" customWidth="1"/>
    <col min="23" max="23" width="12.42578125" style="11" customWidth="1"/>
    <col min="24" max="24" width="14.7109375" style="11" customWidth="1"/>
    <col min="25" max="25" width="15.7109375" style="11" customWidth="1"/>
    <col min="26" max="26" width="18.28515625" style="11" customWidth="1"/>
    <col min="27" max="27" width="20.140625" style="13" customWidth="1"/>
    <col min="28" max="28" width="10.140625" style="14" customWidth="1"/>
    <col min="29" max="29" width="19.7109375" style="11" customWidth="1"/>
    <col min="30" max="30" width="13.28515625" style="11" customWidth="1"/>
    <col min="31" max="31" width="17.85546875" style="11" customWidth="1"/>
    <col min="32" max="32" width="15.7109375" style="11" customWidth="1"/>
    <col min="33" max="33" width="14.42578125" style="11" customWidth="1"/>
    <col min="34" max="34" width="18.42578125" style="11" customWidth="1"/>
    <col min="35" max="35" width="21.28515625" style="12" customWidth="1"/>
    <col min="36" max="36" width="19.28515625" style="15" customWidth="1"/>
    <col min="37" max="37" width="18" style="16" customWidth="1"/>
    <col min="38" max="38" width="26.5703125" style="9" customWidth="1"/>
    <col min="39" max="39" width="17.140625" style="17" customWidth="1"/>
    <col min="40" max="40" width="17.140625" style="18" customWidth="1"/>
    <col min="41" max="41" width="18.85546875" style="19" customWidth="1"/>
    <col min="42" max="42" width="130.85546875" style="20" customWidth="1"/>
    <col min="43" max="1020" width="9.140625" style="9" customWidth="1"/>
    <col min="1021" max="1024" width="9.140625" style="21" customWidth="1"/>
  </cols>
  <sheetData>
    <row r="1" spans="1:1024" x14ac:dyDescent="0.3">
      <c r="A1" s="22"/>
      <c r="B1" s="23"/>
      <c r="C1" s="24"/>
      <c r="D1" s="24"/>
      <c r="E1" s="24"/>
      <c r="F1" s="24"/>
      <c r="G1" s="24"/>
      <c r="H1" s="24"/>
      <c r="I1" s="24"/>
      <c r="J1" s="24"/>
      <c r="K1" s="24"/>
      <c r="L1" s="22"/>
      <c r="M1" s="24"/>
      <c r="N1" s="25"/>
      <c r="O1" s="22"/>
      <c r="P1" s="24"/>
      <c r="Q1" s="24"/>
      <c r="R1" s="24"/>
      <c r="S1" s="24"/>
      <c r="T1" s="24"/>
      <c r="U1" s="24"/>
      <c r="V1" s="22"/>
      <c r="W1" s="24"/>
      <c r="X1" s="24"/>
      <c r="Y1" s="24"/>
      <c r="Z1" s="24"/>
      <c r="AA1" s="26"/>
      <c r="AB1" s="27"/>
      <c r="AC1" s="24"/>
      <c r="AD1" s="24"/>
      <c r="AE1" s="24"/>
      <c r="AF1" s="24"/>
      <c r="AG1" s="24"/>
      <c r="AH1" s="24"/>
      <c r="AI1" s="25"/>
      <c r="AJ1" s="28"/>
      <c r="AK1" s="29"/>
      <c r="AL1" s="22"/>
      <c r="AM1" s="30"/>
      <c r="AN1" s="31"/>
      <c r="AO1" s="32"/>
      <c r="AP1" s="33"/>
    </row>
    <row r="2" spans="1:1024" ht="25.5" x14ac:dyDescent="0.3">
      <c r="A2" s="22"/>
      <c r="B2" s="23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</row>
    <row r="3" spans="1:1024" x14ac:dyDescent="0.3">
      <c r="A3" s="22"/>
      <c r="B3" s="23"/>
      <c r="C3" s="34"/>
      <c r="D3" s="35"/>
      <c r="E3" s="35"/>
      <c r="F3" s="34"/>
      <c r="G3" s="34"/>
      <c r="H3" s="35"/>
      <c r="I3" s="34"/>
      <c r="J3" s="34"/>
      <c r="K3" s="34"/>
      <c r="L3" s="35"/>
      <c r="M3" s="34"/>
      <c r="N3" s="25"/>
      <c r="O3" s="36"/>
      <c r="P3" s="34"/>
      <c r="Q3" s="34"/>
      <c r="R3" s="34"/>
      <c r="S3" s="34"/>
      <c r="T3" s="34"/>
      <c r="U3" s="34"/>
      <c r="V3" s="36"/>
      <c r="W3" s="24"/>
      <c r="X3" s="24"/>
      <c r="Y3" s="24"/>
      <c r="Z3" s="24"/>
      <c r="AA3" s="26"/>
      <c r="AB3" s="27"/>
      <c r="AC3" s="24"/>
      <c r="AD3" s="24"/>
      <c r="AE3" s="24"/>
      <c r="AF3" s="24"/>
      <c r="AG3" s="24"/>
      <c r="AH3" s="24"/>
      <c r="AI3" s="25"/>
      <c r="AJ3" s="28"/>
      <c r="AK3" s="29"/>
      <c r="AL3" s="22"/>
      <c r="AM3" s="30"/>
      <c r="AN3" s="31"/>
      <c r="AO3" s="32"/>
      <c r="AP3" s="33"/>
    </row>
    <row r="4" spans="1:1024" s="47" customFormat="1" ht="24.95" customHeight="1" x14ac:dyDescent="0.15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39"/>
      <c r="M4" s="38"/>
      <c r="N4" s="40"/>
      <c r="O4" s="39"/>
      <c r="P4" s="38"/>
      <c r="Q4" s="252" t="s">
        <v>7</v>
      </c>
      <c r="R4" s="252"/>
      <c r="S4" s="252" t="s">
        <v>8</v>
      </c>
      <c r="T4" s="252"/>
      <c r="U4" s="41"/>
      <c r="V4" s="39"/>
      <c r="W4" s="252" t="s">
        <v>9</v>
      </c>
      <c r="X4" s="252"/>
      <c r="Y4" s="252"/>
      <c r="Z4" s="41"/>
      <c r="AA4" s="42"/>
      <c r="AB4" s="43"/>
      <c r="AC4" s="38"/>
      <c r="AD4" s="252" t="s">
        <v>10</v>
      </c>
      <c r="AE4" s="252"/>
      <c r="AF4" s="252"/>
      <c r="AG4" s="252" t="s">
        <v>11</v>
      </c>
      <c r="AH4" s="252"/>
      <c r="AI4" s="44"/>
      <c r="AJ4" s="45"/>
      <c r="AK4" s="43"/>
      <c r="AL4" s="39"/>
      <c r="AM4" s="252" t="s">
        <v>12</v>
      </c>
      <c r="AN4" s="252"/>
      <c r="AO4" s="252"/>
      <c r="AP4" s="46"/>
      <c r="AMG4" s="48"/>
      <c r="AMH4" s="48"/>
      <c r="AMI4" s="48"/>
      <c r="AMJ4" s="48"/>
    </row>
    <row r="5" spans="1:1024" s="73" customFormat="1" ht="24.95" customHeight="1" x14ac:dyDescent="0.25">
      <c r="A5" s="49"/>
      <c r="B5" s="50" t="s">
        <v>13</v>
      </c>
      <c r="C5" s="51" t="s">
        <v>14</v>
      </c>
      <c r="D5" s="52" t="s">
        <v>15</v>
      </c>
      <c r="E5" s="52" t="s">
        <v>16</v>
      </c>
      <c r="F5" s="50" t="s">
        <v>17</v>
      </c>
      <c r="G5" s="50" t="s">
        <v>18</v>
      </c>
      <c r="H5" s="52" t="s">
        <v>19</v>
      </c>
      <c r="I5" s="50" t="s">
        <v>20</v>
      </c>
      <c r="J5" s="52" t="s">
        <v>21</v>
      </c>
      <c r="K5" s="53" t="s">
        <v>22</v>
      </c>
      <c r="L5" s="52" t="s">
        <v>23</v>
      </c>
      <c r="M5" s="52" t="s">
        <v>24</v>
      </c>
      <c r="N5" s="54" t="s">
        <v>25</v>
      </c>
      <c r="O5" s="53" t="s">
        <v>26</v>
      </c>
      <c r="P5" s="55" t="s">
        <v>27</v>
      </c>
      <c r="Q5" s="56" t="s">
        <v>28</v>
      </c>
      <c r="R5" s="57" t="s">
        <v>29</v>
      </c>
      <c r="S5" s="56" t="s">
        <v>30</v>
      </c>
      <c r="T5" s="57" t="s">
        <v>31</v>
      </c>
      <c r="U5" s="58" t="s">
        <v>32</v>
      </c>
      <c r="V5" s="59" t="s">
        <v>33</v>
      </c>
      <c r="W5" s="56" t="s">
        <v>34</v>
      </c>
      <c r="X5" s="60" t="s">
        <v>35</v>
      </c>
      <c r="Y5" s="61" t="s">
        <v>36</v>
      </c>
      <c r="Z5" s="62" t="s">
        <v>37</v>
      </c>
      <c r="AA5" s="63" t="s">
        <v>38</v>
      </c>
      <c r="AB5" s="64" t="s">
        <v>39</v>
      </c>
      <c r="AC5" s="55" t="s">
        <v>40</v>
      </c>
      <c r="AD5" s="65" t="s">
        <v>41</v>
      </c>
      <c r="AE5" s="66" t="s">
        <v>42</v>
      </c>
      <c r="AF5" s="61" t="s">
        <v>43</v>
      </c>
      <c r="AG5" s="65" t="s">
        <v>44</v>
      </c>
      <c r="AH5" s="61" t="s">
        <v>45</v>
      </c>
      <c r="AI5" s="67" t="s">
        <v>46</v>
      </c>
      <c r="AJ5" s="68" t="s">
        <v>47</v>
      </c>
      <c r="AK5" s="64" t="s">
        <v>48</v>
      </c>
      <c r="AL5" s="59" t="s">
        <v>49</v>
      </c>
      <c r="AM5" s="69" t="s">
        <v>50</v>
      </c>
      <c r="AN5" s="70" t="s">
        <v>51</v>
      </c>
      <c r="AO5" s="71" t="s">
        <v>52</v>
      </c>
      <c r="AP5" s="72" t="s">
        <v>53</v>
      </c>
    </row>
    <row r="6" spans="1:1024" s="92" customFormat="1" ht="15" customHeight="1" x14ac:dyDescent="0.15">
      <c r="A6" s="74"/>
      <c r="B6" s="75">
        <v>1</v>
      </c>
      <c r="C6" s="76" t="s">
        <v>54</v>
      </c>
      <c r="D6" s="77" t="s">
        <v>55</v>
      </c>
      <c r="E6" s="77" t="s">
        <v>56</v>
      </c>
      <c r="F6" s="77" t="s">
        <v>57</v>
      </c>
      <c r="G6" s="77" t="s">
        <v>58</v>
      </c>
      <c r="H6" s="77" t="s">
        <v>59</v>
      </c>
      <c r="I6" s="77" t="s">
        <v>60</v>
      </c>
      <c r="J6" s="77" t="s">
        <v>61</v>
      </c>
      <c r="K6" s="78">
        <v>43496</v>
      </c>
      <c r="L6" s="79" t="s">
        <v>62</v>
      </c>
      <c r="M6" s="77" t="s">
        <v>63</v>
      </c>
      <c r="N6" s="80">
        <v>219917.76</v>
      </c>
      <c r="O6" s="77">
        <v>4</v>
      </c>
      <c r="P6" s="77">
        <v>2</v>
      </c>
      <c r="Q6" s="77"/>
      <c r="R6" s="77"/>
      <c r="S6" s="77"/>
      <c r="T6" s="77"/>
      <c r="U6" s="81"/>
      <c r="V6" s="82"/>
      <c r="W6" s="77"/>
      <c r="X6" s="77"/>
      <c r="Y6" s="77"/>
      <c r="Z6" s="77"/>
      <c r="AA6" s="83"/>
      <c r="AB6" s="77"/>
      <c r="AC6" s="84"/>
      <c r="AD6" s="84"/>
      <c r="AE6" s="85"/>
      <c r="AF6" s="84"/>
      <c r="AG6" s="84"/>
      <c r="AH6" s="85"/>
      <c r="AI6" s="85"/>
      <c r="AJ6" s="86">
        <f>IF(OR(Processos!$H6="Alienação",Processos!$H6="Concessão"),"",(N6-AI6)-(AE6+AH6))</f>
        <v>219917.76</v>
      </c>
      <c r="AK6" s="87">
        <f t="shared" ref="AK6:AK43" si="0">IF(ISERROR((AJ6*100)/N6/100),"",(AJ6*100)/N6/100)</f>
        <v>1</v>
      </c>
      <c r="AL6" s="79"/>
      <c r="AM6" s="88">
        <v>43363</v>
      </c>
      <c r="AN6" s="89"/>
      <c r="AO6" s="90" t="str">
        <f>IF(Tabela1[[#This Row],[Data de aprovação]]="","",Tabela1[[#This Row],[Data de aprovação]]-Tabela1[[#This Row],[Data de abertura]])</f>
        <v/>
      </c>
      <c r="AP6" s="91" t="s">
        <v>64</v>
      </c>
      <c r="AMG6" s="93"/>
      <c r="AMH6" s="93"/>
      <c r="AMI6" s="93"/>
      <c r="AMJ6" s="93"/>
    </row>
    <row r="7" spans="1:1024" s="92" customFormat="1" ht="15" customHeight="1" x14ac:dyDescent="0.15">
      <c r="A7" s="74"/>
      <c r="B7" s="75">
        <v>2</v>
      </c>
      <c r="C7" s="76" t="s">
        <v>65</v>
      </c>
      <c r="D7" s="77" t="s">
        <v>66</v>
      </c>
      <c r="E7" s="77" t="s">
        <v>67</v>
      </c>
      <c r="F7" s="77" t="s">
        <v>68</v>
      </c>
      <c r="G7" s="77" t="s">
        <v>58</v>
      </c>
      <c r="H7" s="77" t="s">
        <v>69</v>
      </c>
      <c r="I7" s="77" t="s">
        <v>70</v>
      </c>
      <c r="J7" s="77" t="s">
        <v>71</v>
      </c>
      <c r="K7" s="78">
        <v>43865</v>
      </c>
      <c r="L7" s="79" t="s">
        <v>72</v>
      </c>
      <c r="M7" s="77" t="s">
        <v>73</v>
      </c>
      <c r="N7" s="80">
        <v>29898.25</v>
      </c>
      <c r="O7" s="77">
        <v>1</v>
      </c>
      <c r="P7" s="77">
        <v>0</v>
      </c>
      <c r="Q7" s="77"/>
      <c r="R7" s="77"/>
      <c r="S7" s="77"/>
      <c r="T7" s="77"/>
      <c r="U7" s="81"/>
      <c r="V7" s="82"/>
      <c r="W7" s="77"/>
      <c r="X7" s="77"/>
      <c r="Y7" s="77"/>
      <c r="Z7" s="77"/>
      <c r="AA7" s="83"/>
      <c r="AB7" s="77" t="str">
        <f t="shared" ref="AB7:AB24" ca="1" si="1">IF(U7="","",IF(AA7="",TODAY()-U7,IF(AA7-U7,AA7-U7,0)))</f>
        <v/>
      </c>
      <c r="AC7" s="84"/>
      <c r="AD7" s="84"/>
      <c r="AE7" s="85"/>
      <c r="AF7" s="84"/>
      <c r="AG7" s="84"/>
      <c r="AH7" s="85"/>
      <c r="AI7" s="85"/>
      <c r="AJ7" s="86" t="str">
        <f>IF(OR(Processos!$H7="Alienação",Processos!$H7="Concessão"),"",(N7-AI7)-(AE7+AH7))</f>
        <v/>
      </c>
      <c r="AK7" s="87" t="str">
        <f t="shared" si="0"/>
        <v/>
      </c>
      <c r="AL7" s="79"/>
      <c r="AM7" s="88">
        <v>43514</v>
      </c>
      <c r="AN7" s="89">
        <v>43845</v>
      </c>
      <c r="AO7" s="90">
        <f>IF(Tabela1[[#This Row],[Data de aprovação]]="","",Tabela1[[#This Row],[Data de aprovação]]-Tabela1[[#This Row],[Data de abertura]])</f>
        <v>331</v>
      </c>
      <c r="AP7" s="91"/>
      <c r="AMG7" s="93"/>
      <c r="AMH7" s="93"/>
      <c r="AMI7" s="93"/>
      <c r="AMJ7" s="93"/>
    </row>
    <row r="8" spans="1:1024" s="92" customFormat="1" ht="15" customHeight="1" x14ac:dyDescent="0.15">
      <c r="A8" s="74"/>
      <c r="B8" s="75">
        <v>3</v>
      </c>
      <c r="C8" s="76" t="s">
        <v>74</v>
      </c>
      <c r="D8" s="77" t="s">
        <v>75</v>
      </c>
      <c r="E8" s="77" t="s">
        <v>76</v>
      </c>
      <c r="F8" s="77" t="s">
        <v>77</v>
      </c>
      <c r="G8" s="77" t="s">
        <v>78</v>
      </c>
      <c r="H8" s="77" t="s">
        <v>59</v>
      </c>
      <c r="I8" s="77" t="s">
        <v>79</v>
      </c>
      <c r="J8" s="77" t="s">
        <v>80</v>
      </c>
      <c r="K8" s="78">
        <v>44222</v>
      </c>
      <c r="L8" s="79" t="s">
        <v>81</v>
      </c>
      <c r="M8" s="77" t="s">
        <v>73</v>
      </c>
      <c r="N8" s="80">
        <v>672334.32</v>
      </c>
      <c r="O8" s="77">
        <v>1</v>
      </c>
      <c r="P8" s="77">
        <v>0</v>
      </c>
      <c r="Q8" s="77" t="s">
        <v>82</v>
      </c>
      <c r="R8" s="77" t="s">
        <v>83</v>
      </c>
      <c r="S8" s="77" t="s">
        <v>82</v>
      </c>
      <c r="T8" s="77" t="s">
        <v>83</v>
      </c>
      <c r="U8" s="81">
        <v>44201</v>
      </c>
      <c r="V8" s="82">
        <v>0.375</v>
      </c>
      <c r="W8" s="77" t="s">
        <v>84</v>
      </c>
      <c r="X8" s="77" t="s">
        <v>82</v>
      </c>
      <c r="Y8" s="77" t="s">
        <v>85</v>
      </c>
      <c r="Z8" s="77" t="s">
        <v>82</v>
      </c>
      <c r="AA8" s="83">
        <v>44221</v>
      </c>
      <c r="AB8" s="77">
        <f t="shared" ca="1" si="1"/>
        <v>20</v>
      </c>
      <c r="AC8" s="84">
        <v>1</v>
      </c>
      <c r="AD8" s="84">
        <v>0</v>
      </c>
      <c r="AE8" s="85">
        <v>0</v>
      </c>
      <c r="AF8" s="84" t="s">
        <v>58</v>
      </c>
      <c r="AG8" s="84">
        <v>0</v>
      </c>
      <c r="AH8" s="85">
        <v>0</v>
      </c>
      <c r="AI8" s="85">
        <v>604796.64</v>
      </c>
      <c r="AJ8" s="86">
        <f>IF(OR(Processos!$H8="Alienação",Processos!$H8="Concessão"),"",(N8-AI8)-(AE8+AH8))</f>
        <v>67537.679999999935</v>
      </c>
      <c r="AK8" s="87">
        <f t="shared" si="0"/>
        <v>0.10045252486887765</v>
      </c>
      <c r="AL8" s="79" t="s">
        <v>86</v>
      </c>
      <c r="AM8" s="88">
        <v>43802</v>
      </c>
      <c r="AN8" s="89">
        <v>44167</v>
      </c>
      <c r="AO8" s="90">
        <f>IF(Tabela1[[#This Row],[Data de aprovação]]="","",Tabela1[[#This Row],[Data de aprovação]]-Tabela1[[#This Row],[Data de abertura]])</f>
        <v>365</v>
      </c>
      <c r="AP8" s="91"/>
      <c r="AMG8" s="93"/>
      <c r="AMH8" s="93"/>
      <c r="AMI8" s="93"/>
      <c r="AMJ8" s="93"/>
    </row>
    <row r="9" spans="1:1024" s="92" customFormat="1" ht="15" customHeight="1" x14ac:dyDescent="0.15">
      <c r="A9" s="74"/>
      <c r="B9" s="75">
        <v>4</v>
      </c>
      <c r="C9" s="76" t="s">
        <v>87</v>
      </c>
      <c r="D9" s="77" t="s">
        <v>55</v>
      </c>
      <c r="E9" s="77" t="s">
        <v>56</v>
      </c>
      <c r="F9" s="77" t="s">
        <v>88</v>
      </c>
      <c r="G9" s="77" t="s">
        <v>58</v>
      </c>
      <c r="H9" s="77" t="s">
        <v>59</v>
      </c>
      <c r="I9" s="77" t="s">
        <v>89</v>
      </c>
      <c r="J9" s="77" t="s">
        <v>90</v>
      </c>
      <c r="K9" s="78">
        <v>44216</v>
      </c>
      <c r="L9" s="79" t="s">
        <v>62</v>
      </c>
      <c r="M9" s="77" t="s">
        <v>63</v>
      </c>
      <c r="N9" s="80">
        <v>27319.96</v>
      </c>
      <c r="O9" s="77">
        <v>2</v>
      </c>
      <c r="P9" s="77">
        <v>1</v>
      </c>
      <c r="Q9" s="77"/>
      <c r="R9" s="77"/>
      <c r="S9" s="77"/>
      <c r="T9" s="77"/>
      <c r="U9" s="81"/>
      <c r="V9" s="82"/>
      <c r="W9" s="77"/>
      <c r="X9" s="77"/>
      <c r="Y9" s="77"/>
      <c r="Z9" s="77"/>
      <c r="AA9" s="83"/>
      <c r="AB9" s="77" t="str">
        <f t="shared" ca="1" si="1"/>
        <v/>
      </c>
      <c r="AC9" s="84"/>
      <c r="AD9" s="84"/>
      <c r="AE9" s="85"/>
      <c r="AF9" s="84"/>
      <c r="AG9" s="84"/>
      <c r="AH9" s="85"/>
      <c r="AI9" s="85"/>
      <c r="AJ9" s="86">
        <f>IF(OR(Processos!$H9="Alienação",Processos!$H9="Concessão"),"",(N9-AI9)-(AE9+AH9))</f>
        <v>27319.96</v>
      </c>
      <c r="AK9" s="87">
        <f t="shared" si="0"/>
        <v>1</v>
      </c>
      <c r="AL9" s="79"/>
      <c r="AM9" s="88">
        <v>43804</v>
      </c>
      <c r="AN9" s="89">
        <v>43881</v>
      </c>
      <c r="AO9" s="90">
        <f>IF(Tabela1[[#This Row],[Data de aprovação]]="","",Tabela1[[#This Row],[Data de aprovação]]-Tabela1[[#This Row],[Data de abertura]])</f>
        <v>77</v>
      </c>
      <c r="AP9" s="91"/>
      <c r="AMG9" s="93"/>
      <c r="AMH9" s="93"/>
      <c r="AMI9" s="93"/>
      <c r="AMJ9" s="93"/>
    </row>
    <row r="10" spans="1:1024" s="92" customFormat="1" ht="20.25" customHeight="1" x14ac:dyDescent="0.15">
      <c r="A10" s="74"/>
      <c r="B10" s="75">
        <v>5</v>
      </c>
      <c r="C10" s="76" t="s">
        <v>91</v>
      </c>
      <c r="D10" s="77" t="s">
        <v>75</v>
      </c>
      <c r="E10" s="77" t="s">
        <v>76</v>
      </c>
      <c r="F10" s="77" t="s">
        <v>92</v>
      </c>
      <c r="G10" s="77" t="s">
        <v>93</v>
      </c>
      <c r="H10" s="77" t="s">
        <v>59</v>
      </c>
      <c r="I10" s="244" t="s">
        <v>94</v>
      </c>
      <c r="J10" s="77" t="s">
        <v>95</v>
      </c>
      <c r="K10" s="78">
        <v>43899</v>
      </c>
      <c r="L10" s="79" t="s">
        <v>62</v>
      </c>
      <c r="M10" s="77" t="s">
        <v>96</v>
      </c>
      <c r="N10" s="80">
        <v>62400</v>
      </c>
      <c r="O10" s="77">
        <v>1</v>
      </c>
      <c r="P10" s="77">
        <v>0</v>
      </c>
      <c r="Q10" s="77"/>
      <c r="R10" s="77"/>
      <c r="S10" s="77"/>
      <c r="T10" s="77"/>
      <c r="U10" s="81"/>
      <c r="V10" s="82"/>
      <c r="W10" s="77"/>
      <c r="X10" s="77"/>
      <c r="Y10" s="77"/>
      <c r="Z10" s="77"/>
      <c r="AA10" s="83"/>
      <c r="AB10" s="77" t="str">
        <f t="shared" ca="1" si="1"/>
        <v/>
      </c>
      <c r="AC10" s="84"/>
      <c r="AD10" s="84"/>
      <c r="AE10" s="85"/>
      <c r="AF10" s="84"/>
      <c r="AG10" s="84"/>
      <c r="AH10" s="85"/>
      <c r="AI10" s="85"/>
      <c r="AJ10" s="86">
        <f>IF(OR(Processos!$H10="Alienação",Processos!$H10="Concessão"),"",(N10-AI10)-(AE10+AH10))</f>
        <v>62400</v>
      </c>
      <c r="AK10" s="87">
        <f t="shared" si="0"/>
        <v>1</v>
      </c>
      <c r="AL10" s="79"/>
      <c r="AM10" s="88">
        <v>43804</v>
      </c>
      <c r="AN10" s="89">
        <v>43896</v>
      </c>
      <c r="AO10" s="90">
        <f>IF(Tabela1[[#This Row],[Data de aprovação]]="","",Tabela1[[#This Row],[Data de aprovação]]-Tabela1[[#This Row],[Data de abertura]])</f>
        <v>92</v>
      </c>
      <c r="AP10" s="91"/>
      <c r="AMG10" s="93"/>
      <c r="AMH10" s="93"/>
      <c r="AMI10" s="93"/>
      <c r="AMJ10" s="93"/>
    </row>
    <row r="11" spans="1:1024" s="92" customFormat="1" ht="21" x14ac:dyDescent="0.15">
      <c r="A11" s="74"/>
      <c r="B11" s="75">
        <v>6</v>
      </c>
      <c r="C11" s="76" t="s">
        <v>97</v>
      </c>
      <c r="D11" s="77" t="s">
        <v>75</v>
      </c>
      <c r="E11" s="77" t="s">
        <v>76</v>
      </c>
      <c r="F11" s="77" t="s">
        <v>98</v>
      </c>
      <c r="G11" s="77" t="s">
        <v>99</v>
      </c>
      <c r="H11" s="77" t="s">
        <v>59</v>
      </c>
      <c r="I11" s="244" t="s">
        <v>100</v>
      </c>
      <c r="J11" s="77" t="s">
        <v>101</v>
      </c>
      <c r="K11" s="78">
        <v>44435</v>
      </c>
      <c r="L11" s="79" t="s">
        <v>81</v>
      </c>
      <c r="M11" s="77" t="s">
        <v>73</v>
      </c>
      <c r="N11" s="80">
        <v>513178.24</v>
      </c>
      <c r="O11" s="77">
        <v>146</v>
      </c>
      <c r="P11" s="77">
        <v>5</v>
      </c>
      <c r="Q11" s="77" t="s">
        <v>82</v>
      </c>
      <c r="R11" s="77" t="s">
        <v>83</v>
      </c>
      <c r="S11" s="77" t="s">
        <v>82</v>
      </c>
      <c r="T11" s="77" t="s">
        <v>83</v>
      </c>
      <c r="U11" s="81">
        <v>44426</v>
      </c>
      <c r="V11" s="82">
        <v>0.375</v>
      </c>
      <c r="W11" s="77" t="s">
        <v>82</v>
      </c>
      <c r="X11" s="77" t="s">
        <v>83</v>
      </c>
      <c r="Y11" s="77" t="s">
        <v>58</v>
      </c>
      <c r="Z11" s="77" t="s">
        <v>83</v>
      </c>
      <c r="AA11" s="83">
        <v>44434</v>
      </c>
      <c r="AB11" s="77">
        <f t="shared" ca="1" si="1"/>
        <v>8</v>
      </c>
      <c r="AC11" s="84"/>
      <c r="AD11" s="84">
        <v>0</v>
      </c>
      <c r="AE11" s="85">
        <v>0</v>
      </c>
      <c r="AF11" s="84" t="s">
        <v>58</v>
      </c>
      <c r="AG11" s="84">
        <v>0</v>
      </c>
      <c r="AH11" s="85">
        <v>0</v>
      </c>
      <c r="AI11" s="85">
        <v>452769.01</v>
      </c>
      <c r="AJ11" s="86">
        <f>IF(OR(Processos!$H11="Alienação",Processos!$H11="Concessão"),"",(N11-AI11)-(AE11+AH11))</f>
        <v>60409.229999999981</v>
      </c>
      <c r="AK11" s="87">
        <f t="shared" si="0"/>
        <v>0.11771588366646252</v>
      </c>
      <c r="AL11" s="79" t="s">
        <v>86</v>
      </c>
      <c r="AM11" s="88">
        <v>43895</v>
      </c>
      <c r="AN11" s="89">
        <v>44412</v>
      </c>
      <c r="AO11" s="90">
        <f>IF(Tabela1[[#This Row],[Data de aprovação]]="","",Tabela1[[#This Row],[Data de aprovação]]-Tabela1[[#This Row],[Data de abertura]])</f>
        <v>517</v>
      </c>
      <c r="AP11" s="91"/>
      <c r="AMG11" s="93"/>
      <c r="AMH11" s="93"/>
      <c r="AMI11" s="93"/>
      <c r="AMJ11" s="93"/>
    </row>
    <row r="12" spans="1:1024" s="92" customFormat="1" ht="34.5" customHeight="1" x14ac:dyDescent="0.15">
      <c r="A12" s="74"/>
      <c r="B12" s="75">
        <v>7</v>
      </c>
      <c r="C12" s="76" t="s">
        <v>102</v>
      </c>
      <c r="D12" s="77" t="s">
        <v>75</v>
      </c>
      <c r="E12" s="77" t="s">
        <v>76</v>
      </c>
      <c r="F12" s="77" t="s">
        <v>103</v>
      </c>
      <c r="G12" s="77" t="s">
        <v>596</v>
      </c>
      <c r="H12" s="77" t="s">
        <v>59</v>
      </c>
      <c r="I12" s="244" t="s">
        <v>104</v>
      </c>
      <c r="J12" s="77" t="s">
        <v>101</v>
      </c>
      <c r="K12" s="78">
        <v>44425</v>
      </c>
      <c r="L12" s="79" t="s">
        <v>222</v>
      </c>
      <c r="M12" s="77" t="s">
        <v>105</v>
      </c>
      <c r="N12" s="80">
        <v>4406003.3600000003</v>
      </c>
      <c r="O12" s="77">
        <v>11</v>
      </c>
      <c r="P12" s="77">
        <v>1</v>
      </c>
      <c r="Q12" s="77"/>
      <c r="R12" s="77"/>
      <c r="S12" s="77"/>
      <c r="T12" s="77"/>
      <c r="U12" s="81">
        <v>44452</v>
      </c>
      <c r="V12" s="82">
        <v>0.35416666666666702</v>
      </c>
      <c r="W12" s="77"/>
      <c r="X12" s="77"/>
      <c r="Y12" s="77"/>
      <c r="Z12" s="77"/>
      <c r="AA12" s="83"/>
      <c r="AB12" s="77">
        <f t="shared" ca="1" si="1"/>
        <v>0</v>
      </c>
      <c r="AC12" s="84"/>
      <c r="AD12" s="84"/>
      <c r="AE12" s="85"/>
      <c r="AF12" s="84"/>
      <c r="AG12" s="84"/>
      <c r="AH12" s="85"/>
      <c r="AI12" s="85"/>
      <c r="AJ12" s="86">
        <f>IF(OR(Processos!$H12="Alienação",Processos!$H12="Concessão"),"",(N12-AI12)-(AE12+AH12))</f>
        <v>4406003.3600000003</v>
      </c>
      <c r="AK12" s="87">
        <f t="shared" si="0"/>
        <v>1</v>
      </c>
      <c r="AL12" s="79"/>
      <c r="AM12" s="88">
        <v>43677</v>
      </c>
      <c r="AN12" s="89">
        <v>44425</v>
      </c>
      <c r="AO12" s="90">
        <f>IF(Tabela1[[#This Row],[Data de aprovação]]="","",Tabela1[[#This Row],[Data de aprovação]]-Tabela1[[#This Row],[Data de abertura]])</f>
        <v>748</v>
      </c>
      <c r="AP12" s="91"/>
      <c r="AMG12" s="93"/>
      <c r="AMH12" s="93"/>
      <c r="AMI12" s="93"/>
      <c r="AMJ12" s="93"/>
    </row>
    <row r="13" spans="1:1024" s="92" customFormat="1" ht="15" customHeight="1" x14ac:dyDescent="0.15">
      <c r="A13" s="74"/>
      <c r="B13" s="75">
        <v>8</v>
      </c>
      <c r="C13" s="76" t="s">
        <v>106</v>
      </c>
      <c r="D13" s="77" t="s">
        <v>55</v>
      </c>
      <c r="E13" s="77" t="s">
        <v>56</v>
      </c>
      <c r="F13" s="77" t="s">
        <v>107</v>
      </c>
      <c r="G13" s="77" t="s">
        <v>58</v>
      </c>
      <c r="H13" s="77" t="s">
        <v>59</v>
      </c>
      <c r="I13" s="77" t="s">
        <v>108</v>
      </c>
      <c r="J13" s="77" t="s">
        <v>109</v>
      </c>
      <c r="K13" s="78">
        <v>44417</v>
      </c>
      <c r="L13" s="79" t="s">
        <v>115</v>
      </c>
      <c r="M13" s="77" t="s">
        <v>110</v>
      </c>
      <c r="N13" s="80">
        <v>110201.25</v>
      </c>
      <c r="O13" s="77">
        <v>9</v>
      </c>
      <c r="P13" s="77">
        <v>1</v>
      </c>
      <c r="Q13" s="77" t="s">
        <v>82</v>
      </c>
      <c r="R13" s="77" t="s">
        <v>83</v>
      </c>
      <c r="S13" s="77" t="s">
        <v>82</v>
      </c>
      <c r="T13" s="77" t="s">
        <v>83</v>
      </c>
      <c r="U13" s="81">
        <v>44410</v>
      </c>
      <c r="V13" s="82">
        <v>0.375</v>
      </c>
      <c r="W13" s="77"/>
      <c r="X13" s="77"/>
      <c r="Y13" s="77"/>
      <c r="Z13" s="77"/>
      <c r="AA13" s="83">
        <v>44413</v>
      </c>
      <c r="AB13" s="77">
        <f t="shared" ca="1" si="1"/>
        <v>3</v>
      </c>
      <c r="AC13" s="84"/>
      <c r="AD13" s="84"/>
      <c r="AE13" s="85"/>
      <c r="AF13" s="84"/>
      <c r="AG13" s="84"/>
      <c r="AH13" s="85"/>
      <c r="AI13" s="85"/>
      <c r="AJ13" s="86">
        <f>IF(OR(Processos!$H13="Alienação",Processos!$H13="Concessão"),"",(N13-AI13)-(AE13+AH13))</f>
        <v>110201.25</v>
      </c>
      <c r="AK13" s="87">
        <f t="shared" si="0"/>
        <v>1</v>
      </c>
      <c r="AL13" s="79" t="s">
        <v>86</v>
      </c>
      <c r="AM13" s="88">
        <v>43903</v>
      </c>
      <c r="AN13" s="89"/>
      <c r="AO13" s="90" t="str">
        <f>IF(Tabela1[[#This Row],[Data de aprovação]]="","",Tabela1[[#This Row],[Data de aprovação]]-Tabela1[[#This Row],[Data de abertura]])</f>
        <v/>
      </c>
      <c r="AP13" s="91"/>
      <c r="AMG13" s="93"/>
      <c r="AMH13" s="93"/>
      <c r="AMI13" s="93"/>
      <c r="AMJ13" s="93"/>
    </row>
    <row r="14" spans="1:1024" s="92" customFormat="1" ht="21.75" customHeight="1" x14ac:dyDescent="0.15">
      <c r="A14" s="74"/>
      <c r="B14" s="75">
        <v>9</v>
      </c>
      <c r="C14" s="76" t="s">
        <v>111</v>
      </c>
      <c r="D14" s="77" t="s">
        <v>55</v>
      </c>
      <c r="E14" s="77" t="s">
        <v>56</v>
      </c>
      <c r="F14" s="77" t="s">
        <v>112</v>
      </c>
      <c r="G14" s="77" t="s">
        <v>58</v>
      </c>
      <c r="H14" s="77" t="s">
        <v>59</v>
      </c>
      <c r="I14" s="77" t="s">
        <v>113</v>
      </c>
      <c r="J14" s="77" t="s">
        <v>114</v>
      </c>
      <c r="K14" s="78">
        <v>44215</v>
      </c>
      <c r="L14" s="79" t="s">
        <v>115</v>
      </c>
      <c r="M14" s="77" t="s">
        <v>105</v>
      </c>
      <c r="N14" s="80">
        <v>2591777.34</v>
      </c>
      <c r="O14" s="77">
        <v>3</v>
      </c>
      <c r="P14" s="77">
        <v>1</v>
      </c>
      <c r="Q14" s="77" t="s">
        <v>82</v>
      </c>
      <c r="R14" s="77" t="s">
        <v>83</v>
      </c>
      <c r="S14" s="77" t="s">
        <v>82</v>
      </c>
      <c r="T14" s="77" t="s">
        <v>82</v>
      </c>
      <c r="U14" s="81">
        <v>44203</v>
      </c>
      <c r="V14" s="82">
        <v>0.60416666666666696</v>
      </c>
      <c r="W14" s="77" t="s">
        <v>82</v>
      </c>
      <c r="X14" s="77" t="s">
        <v>83</v>
      </c>
      <c r="Y14" s="77" t="s">
        <v>58</v>
      </c>
      <c r="Z14" s="77" t="s">
        <v>82</v>
      </c>
      <c r="AA14" s="83">
        <v>44215</v>
      </c>
      <c r="AB14" s="77">
        <f t="shared" ca="1" si="1"/>
        <v>12</v>
      </c>
      <c r="AC14" s="84">
        <v>3</v>
      </c>
      <c r="AD14" s="84">
        <v>0</v>
      </c>
      <c r="AE14" s="85">
        <v>0</v>
      </c>
      <c r="AF14" s="84" t="s">
        <v>58</v>
      </c>
      <c r="AG14" s="84">
        <v>0</v>
      </c>
      <c r="AH14" s="85">
        <v>0</v>
      </c>
      <c r="AI14" s="85">
        <v>1944786.84</v>
      </c>
      <c r="AJ14" s="86">
        <f>IF(OR(Processos!$H14="Alienação",Processos!$H14="Concessão"),"",(N14-AI14)-(AE14+AH14))</f>
        <v>646990.49999999977</v>
      </c>
      <c r="AK14" s="87">
        <f t="shared" si="0"/>
        <v>0.24963197648760979</v>
      </c>
      <c r="AL14" s="79" t="s">
        <v>86</v>
      </c>
      <c r="AM14" s="88">
        <v>43802</v>
      </c>
      <c r="AN14" s="89">
        <v>44182</v>
      </c>
      <c r="AO14" s="90">
        <f>IF(Tabela1[[#This Row],[Data de aprovação]]="","",Tabela1[[#This Row],[Data de aprovação]]-Tabela1[[#This Row],[Data de abertura]])</f>
        <v>380</v>
      </c>
      <c r="AP14" s="91"/>
      <c r="AMG14" s="93"/>
      <c r="AMH14" s="93"/>
      <c r="AMI14" s="93"/>
      <c r="AMJ14" s="93"/>
    </row>
    <row r="15" spans="1:1024" s="92" customFormat="1" ht="15" customHeight="1" x14ac:dyDescent="0.15">
      <c r="A15" s="74"/>
      <c r="B15" s="75">
        <v>10</v>
      </c>
      <c r="C15" s="76" t="s">
        <v>116</v>
      </c>
      <c r="D15" s="77" t="s">
        <v>75</v>
      </c>
      <c r="E15" s="77" t="s">
        <v>76</v>
      </c>
      <c r="F15" s="77" t="s">
        <v>117</v>
      </c>
      <c r="G15" s="77" t="s">
        <v>266</v>
      </c>
      <c r="H15" s="77" t="s">
        <v>59</v>
      </c>
      <c r="I15" s="77" t="s">
        <v>118</v>
      </c>
      <c r="J15" s="77" t="s">
        <v>119</v>
      </c>
      <c r="K15" s="78">
        <v>44447</v>
      </c>
      <c r="L15" s="79" t="s">
        <v>81</v>
      </c>
      <c r="M15" s="77" t="s">
        <v>73</v>
      </c>
      <c r="N15" s="80">
        <v>3322759.68</v>
      </c>
      <c r="O15" s="77">
        <v>5</v>
      </c>
      <c r="P15" s="77">
        <v>15</v>
      </c>
      <c r="Q15" s="77" t="s">
        <v>82</v>
      </c>
      <c r="R15" s="77" t="s">
        <v>83</v>
      </c>
      <c r="S15" s="77" t="s">
        <v>82</v>
      </c>
      <c r="T15" s="77" t="s">
        <v>83</v>
      </c>
      <c r="U15" s="81">
        <v>44397</v>
      </c>
      <c r="V15" s="82">
        <v>0.375</v>
      </c>
      <c r="W15" s="77" t="s">
        <v>84</v>
      </c>
      <c r="X15" s="77" t="s">
        <v>82</v>
      </c>
      <c r="Y15" s="77" t="s">
        <v>620</v>
      </c>
      <c r="Z15" s="77" t="s">
        <v>84</v>
      </c>
      <c r="AA15" s="83">
        <v>44442</v>
      </c>
      <c r="AB15" s="77">
        <f t="shared" ca="1" si="1"/>
        <v>45</v>
      </c>
      <c r="AC15" s="84">
        <v>5</v>
      </c>
      <c r="AD15" s="84">
        <v>0</v>
      </c>
      <c r="AE15" s="85">
        <v>0</v>
      </c>
      <c r="AF15" s="84" t="s">
        <v>58</v>
      </c>
      <c r="AG15" s="84">
        <v>0</v>
      </c>
      <c r="AH15" s="85">
        <v>0</v>
      </c>
      <c r="AI15" s="85">
        <v>2316404.64</v>
      </c>
      <c r="AJ15" s="86">
        <f>IF(OR(Processos!$H15="Alienação",Processos!$H15="Concessão"),"",(N15-AI15)-(AE15+AH15))</f>
        <v>1006355.04</v>
      </c>
      <c r="AK15" s="87">
        <f t="shared" si="0"/>
        <v>0.30286723594768067</v>
      </c>
      <c r="AL15" s="79" t="s">
        <v>86</v>
      </c>
      <c r="AM15" s="88">
        <v>43951</v>
      </c>
      <c r="AN15" s="89">
        <v>44382</v>
      </c>
      <c r="AO15" s="90">
        <f>IF(Tabela1[[#This Row],[Data de aprovação]]="","",Tabela1[[#This Row],[Data de aprovação]]-Tabela1[[#This Row],[Data de abertura]])</f>
        <v>431</v>
      </c>
      <c r="AP15" s="91"/>
      <c r="AMG15" s="93"/>
      <c r="AMH15" s="93"/>
      <c r="AMI15" s="93"/>
      <c r="AMJ15" s="93"/>
    </row>
    <row r="16" spans="1:1024" s="92" customFormat="1" ht="10.5" x14ac:dyDescent="0.15">
      <c r="A16" s="74"/>
      <c r="B16" s="75">
        <v>11</v>
      </c>
      <c r="C16" s="76" t="s">
        <v>120</v>
      </c>
      <c r="D16" s="77" t="s">
        <v>75</v>
      </c>
      <c r="E16" s="77" t="s">
        <v>76</v>
      </c>
      <c r="F16" s="77" t="s">
        <v>121</v>
      </c>
      <c r="G16" s="77" t="s">
        <v>98</v>
      </c>
      <c r="H16" s="77" t="s">
        <v>122</v>
      </c>
      <c r="I16" s="77" t="s">
        <v>123</v>
      </c>
      <c r="J16" s="77" t="s">
        <v>124</v>
      </c>
      <c r="K16" s="78">
        <v>44237</v>
      </c>
      <c r="L16" s="79" t="s">
        <v>125</v>
      </c>
      <c r="M16" s="77" t="s">
        <v>96</v>
      </c>
      <c r="N16" s="80">
        <v>5463515.0599999996</v>
      </c>
      <c r="O16" s="77">
        <v>83</v>
      </c>
      <c r="P16" s="77">
        <v>0</v>
      </c>
      <c r="Q16" s="77" t="s">
        <v>82</v>
      </c>
      <c r="R16" s="77" t="s">
        <v>83</v>
      </c>
      <c r="S16" s="77" t="s">
        <v>82</v>
      </c>
      <c r="T16" s="77" t="s">
        <v>83</v>
      </c>
      <c r="U16" s="81">
        <v>44214</v>
      </c>
      <c r="V16" s="82">
        <v>0.60416666666666696</v>
      </c>
      <c r="W16" s="77" t="s">
        <v>84</v>
      </c>
      <c r="X16" s="77" t="s">
        <v>82</v>
      </c>
      <c r="Y16" s="77" t="s">
        <v>126</v>
      </c>
      <c r="Z16" s="77" t="s">
        <v>82</v>
      </c>
      <c r="AA16" s="83">
        <v>44236</v>
      </c>
      <c r="AB16" s="77">
        <f t="shared" ca="1" si="1"/>
        <v>22</v>
      </c>
      <c r="AC16" s="84">
        <v>45</v>
      </c>
      <c r="AD16" s="84">
        <v>18</v>
      </c>
      <c r="AE16" s="85">
        <v>43242.540099999998</v>
      </c>
      <c r="AF16" s="84" t="s">
        <v>127</v>
      </c>
      <c r="AG16" s="84">
        <v>20</v>
      </c>
      <c r="AH16" s="85">
        <v>19597.71</v>
      </c>
      <c r="AI16" s="85">
        <v>1575780.0301999999</v>
      </c>
      <c r="AJ16" s="86">
        <f>IF(OR(Processos!$H16="Alienação",Processos!$H16="Concessão"),"",(N16-AI16)-(AE16+AH16))</f>
        <v>3824894.7796999998</v>
      </c>
      <c r="AK16" s="87">
        <f t="shared" si="0"/>
        <v>0.70007947954663463</v>
      </c>
      <c r="AL16" s="79" t="s">
        <v>86</v>
      </c>
      <c r="AM16" s="88">
        <v>43922</v>
      </c>
      <c r="AN16" s="89">
        <v>44200</v>
      </c>
      <c r="AO16" s="90">
        <f>IF(Tabela1[[#This Row],[Data de aprovação]]="","",Tabela1[[#This Row],[Data de aprovação]]-Tabela1[[#This Row],[Data de abertura]])</f>
        <v>278</v>
      </c>
      <c r="AP16" s="91"/>
      <c r="AMG16" s="93"/>
      <c r="AMH16" s="93"/>
      <c r="AMI16" s="93"/>
      <c r="AMJ16" s="93"/>
    </row>
    <row r="17" spans="1:1024" s="92" customFormat="1" ht="15" customHeight="1" x14ac:dyDescent="0.15">
      <c r="A17" s="74"/>
      <c r="B17" s="75">
        <v>12</v>
      </c>
      <c r="C17" s="76" t="s">
        <v>128</v>
      </c>
      <c r="D17" s="77" t="s">
        <v>75</v>
      </c>
      <c r="E17" s="77" t="s">
        <v>76</v>
      </c>
      <c r="F17" s="77" t="s">
        <v>129</v>
      </c>
      <c r="G17" s="77" t="s">
        <v>130</v>
      </c>
      <c r="H17" s="77" t="s">
        <v>59</v>
      </c>
      <c r="I17" s="77" t="s">
        <v>131</v>
      </c>
      <c r="J17" s="77" t="s">
        <v>61</v>
      </c>
      <c r="K17" s="78">
        <v>44090</v>
      </c>
      <c r="L17" s="79" t="s">
        <v>62</v>
      </c>
      <c r="M17" s="77" t="s">
        <v>110</v>
      </c>
      <c r="N17" s="80">
        <v>7858800</v>
      </c>
      <c r="O17" s="77">
        <v>2</v>
      </c>
      <c r="P17" s="77">
        <v>1</v>
      </c>
      <c r="Q17" s="77"/>
      <c r="R17" s="77"/>
      <c r="S17" s="77"/>
      <c r="T17" s="77"/>
      <c r="U17" s="81">
        <v>44097</v>
      </c>
      <c r="V17" s="82">
        <v>0.375</v>
      </c>
      <c r="W17" s="77"/>
      <c r="X17" s="77"/>
      <c r="Y17" s="77"/>
      <c r="Z17" s="77"/>
      <c r="AA17" s="83"/>
      <c r="AB17" s="77">
        <f t="shared" ca="1" si="1"/>
        <v>355</v>
      </c>
      <c r="AC17" s="84"/>
      <c r="AD17" s="84"/>
      <c r="AE17" s="85"/>
      <c r="AF17" s="84"/>
      <c r="AG17" s="84"/>
      <c r="AH17" s="85"/>
      <c r="AI17" s="85"/>
      <c r="AJ17" s="86">
        <f>IF(OR(Processos!$H17="Alienação",Processos!$H17="Concessão"),"",(N17-AI17)-(AE17+AH17))</f>
        <v>7858800</v>
      </c>
      <c r="AK17" s="87">
        <f t="shared" si="0"/>
        <v>1</v>
      </c>
      <c r="AL17" s="79"/>
      <c r="AM17" s="88">
        <v>44062</v>
      </c>
      <c r="AN17" s="89"/>
      <c r="AO17" s="90" t="str">
        <f>IF(Tabela1[[#This Row],[Data de aprovação]]="","",Tabela1[[#This Row],[Data de aprovação]]-Tabela1[[#This Row],[Data de abertura]])</f>
        <v/>
      </c>
      <c r="AP17" s="91" t="s">
        <v>132</v>
      </c>
      <c r="AMG17" s="93"/>
      <c r="AMH17" s="93"/>
      <c r="AMI17" s="93"/>
      <c r="AMJ17" s="93"/>
    </row>
    <row r="18" spans="1:1024" s="92" customFormat="1" ht="15" customHeight="1" x14ac:dyDescent="0.15">
      <c r="A18" s="74"/>
      <c r="B18" s="75">
        <v>13</v>
      </c>
      <c r="C18" s="76" t="s">
        <v>133</v>
      </c>
      <c r="D18" s="77" t="s">
        <v>75</v>
      </c>
      <c r="E18" s="77" t="s">
        <v>76</v>
      </c>
      <c r="F18" s="77" t="s">
        <v>134</v>
      </c>
      <c r="G18" s="77" t="s">
        <v>135</v>
      </c>
      <c r="H18" s="77" t="s">
        <v>59</v>
      </c>
      <c r="I18" s="77" t="s">
        <v>136</v>
      </c>
      <c r="J18" s="77" t="s">
        <v>137</v>
      </c>
      <c r="K18" s="78">
        <v>44235</v>
      </c>
      <c r="L18" s="79" t="s">
        <v>81</v>
      </c>
      <c r="M18" s="77" t="s">
        <v>73</v>
      </c>
      <c r="N18" s="80">
        <v>3971162.59</v>
      </c>
      <c r="O18" s="77">
        <v>302</v>
      </c>
      <c r="P18" s="77">
        <v>2</v>
      </c>
      <c r="Q18" s="77" t="s">
        <v>82</v>
      </c>
      <c r="R18" s="77" t="s">
        <v>83</v>
      </c>
      <c r="S18" s="77" t="s">
        <v>82</v>
      </c>
      <c r="T18" s="77" t="s">
        <v>83</v>
      </c>
      <c r="U18" s="81">
        <v>44208</v>
      </c>
      <c r="V18" s="82">
        <v>0.375</v>
      </c>
      <c r="W18" s="77" t="s">
        <v>82</v>
      </c>
      <c r="X18" s="77" t="s">
        <v>83</v>
      </c>
      <c r="Y18" s="77" t="s">
        <v>58</v>
      </c>
      <c r="Z18" s="77" t="s">
        <v>83</v>
      </c>
      <c r="AA18" s="83">
        <v>44232</v>
      </c>
      <c r="AB18" s="77">
        <f t="shared" ca="1" si="1"/>
        <v>24</v>
      </c>
      <c r="AC18" s="84"/>
      <c r="AD18" s="84">
        <v>0</v>
      </c>
      <c r="AE18" s="85">
        <v>0</v>
      </c>
      <c r="AF18" s="84" t="s">
        <v>58</v>
      </c>
      <c r="AG18" s="84">
        <v>0</v>
      </c>
      <c r="AH18" s="85">
        <v>0</v>
      </c>
      <c r="AI18" s="85">
        <v>2813311.51</v>
      </c>
      <c r="AJ18" s="86">
        <f>IF(OR(Processos!$H18="Alienação",Processos!$H18="Concessão"),"",(N18-AI18)-(AE18+AH18))</f>
        <v>1157851.08</v>
      </c>
      <c r="AK18" s="87">
        <f t="shared" si="0"/>
        <v>0.29156476315415736</v>
      </c>
      <c r="AL18" s="79" t="s">
        <v>86</v>
      </c>
      <c r="AM18" s="88">
        <v>44036</v>
      </c>
      <c r="AN18" s="89">
        <v>44172</v>
      </c>
      <c r="AO18" s="90">
        <f>IF(Tabela1[[#This Row],[Data de aprovação]]="","",Tabela1[[#This Row],[Data de aprovação]]-Tabela1[[#This Row],[Data de abertura]])</f>
        <v>136</v>
      </c>
      <c r="AP18" s="91"/>
      <c r="AMG18" s="93"/>
      <c r="AMH18" s="93"/>
      <c r="AMI18" s="93"/>
      <c r="AMJ18" s="93"/>
    </row>
    <row r="19" spans="1:1024" s="92" customFormat="1" ht="15" customHeight="1" x14ac:dyDescent="0.15">
      <c r="A19" s="74"/>
      <c r="B19" s="75">
        <v>14</v>
      </c>
      <c r="C19" s="76" t="s">
        <v>138</v>
      </c>
      <c r="D19" s="77" t="s">
        <v>139</v>
      </c>
      <c r="E19" s="77" t="s">
        <v>67</v>
      </c>
      <c r="F19" s="77" t="s">
        <v>140</v>
      </c>
      <c r="G19" s="77" t="s">
        <v>58</v>
      </c>
      <c r="H19" s="77" t="s">
        <v>141</v>
      </c>
      <c r="I19" s="77" t="s">
        <v>142</v>
      </c>
      <c r="J19" s="77" t="s">
        <v>114</v>
      </c>
      <c r="K19" s="78">
        <v>44221</v>
      </c>
      <c r="L19" s="79" t="s">
        <v>143</v>
      </c>
      <c r="M19" s="77" t="s">
        <v>73</v>
      </c>
      <c r="N19" s="80">
        <v>295219.86</v>
      </c>
      <c r="O19" s="77">
        <v>1</v>
      </c>
      <c r="P19" s="77">
        <v>0</v>
      </c>
      <c r="Q19" s="77" t="s">
        <v>82</v>
      </c>
      <c r="R19" s="77" t="s">
        <v>83</v>
      </c>
      <c r="S19" s="77" t="s">
        <v>82</v>
      </c>
      <c r="T19" s="77" t="s">
        <v>83</v>
      </c>
      <c r="U19" s="81">
        <v>44203</v>
      </c>
      <c r="V19" s="82">
        <v>0.375</v>
      </c>
      <c r="W19" s="77" t="s">
        <v>82</v>
      </c>
      <c r="X19" s="77" t="s">
        <v>83</v>
      </c>
      <c r="Y19" s="77" t="s">
        <v>58</v>
      </c>
      <c r="Z19" s="77" t="s">
        <v>83</v>
      </c>
      <c r="AA19" s="83">
        <v>44221</v>
      </c>
      <c r="AB19" s="77">
        <f t="shared" ca="1" si="1"/>
        <v>18</v>
      </c>
      <c r="AC19" s="84"/>
      <c r="AD19" s="84">
        <v>1</v>
      </c>
      <c r="AE19" s="85">
        <v>295219.86</v>
      </c>
      <c r="AF19" s="84" t="s">
        <v>144</v>
      </c>
      <c r="AG19" s="84">
        <v>0</v>
      </c>
      <c r="AH19" s="85">
        <v>0</v>
      </c>
      <c r="AI19" s="85">
        <v>0</v>
      </c>
      <c r="AJ19" s="86">
        <f>IF(OR(Processos!$H19="Alienação",Processos!$H19="Concessão"),"",(N19-AI19)-(AE19+AH19))</f>
        <v>0</v>
      </c>
      <c r="AK19" s="87">
        <f t="shared" si="0"/>
        <v>0</v>
      </c>
      <c r="AL19" s="79" t="s">
        <v>145</v>
      </c>
      <c r="AM19" s="88">
        <v>44123</v>
      </c>
      <c r="AN19" s="89">
        <v>44172</v>
      </c>
      <c r="AO19" s="90">
        <f>IF(Tabela1[[#This Row],[Data de aprovação]]="","",Tabela1[[#This Row],[Data de aprovação]]-Tabela1[[#This Row],[Data de abertura]])</f>
        <v>49</v>
      </c>
      <c r="AP19" s="91"/>
      <c r="AMG19" s="93"/>
      <c r="AMH19" s="93"/>
      <c r="AMI19" s="93"/>
      <c r="AMJ19" s="93"/>
    </row>
    <row r="20" spans="1:1024" s="92" customFormat="1" ht="15" customHeight="1" x14ac:dyDescent="0.15">
      <c r="A20" s="74"/>
      <c r="B20" s="75">
        <v>15</v>
      </c>
      <c r="C20" s="76" t="s">
        <v>146</v>
      </c>
      <c r="D20" s="77" t="s">
        <v>75</v>
      </c>
      <c r="E20" s="77" t="s">
        <v>76</v>
      </c>
      <c r="F20" s="77" t="s">
        <v>147</v>
      </c>
      <c r="G20" s="77" t="s">
        <v>148</v>
      </c>
      <c r="H20" s="77" t="s">
        <v>59</v>
      </c>
      <c r="I20" s="77" t="s">
        <v>149</v>
      </c>
      <c r="J20" s="77" t="s">
        <v>90</v>
      </c>
      <c r="K20" s="78">
        <v>44333</v>
      </c>
      <c r="L20" s="79" t="s">
        <v>81</v>
      </c>
      <c r="M20" s="77" t="s">
        <v>110</v>
      </c>
      <c r="N20" s="80">
        <v>1919348.16</v>
      </c>
      <c r="O20" s="77">
        <v>8</v>
      </c>
      <c r="P20" s="77">
        <v>1</v>
      </c>
      <c r="Q20" s="77" t="s">
        <v>84</v>
      </c>
      <c r="R20" s="77" t="s">
        <v>82</v>
      </c>
      <c r="S20" s="77" t="s">
        <v>82</v>
      </c>
      <c r="T20" s="77" t="s">
        <v>83</v>
      </c>
      <c r="U20" s="81">
        <v>44293</v>
      </c>
      <c r="V20" s="82">
        <v>0.375</v>
      </c>
      <c r="W20" s="77" t="s">
        <v>84</v>
      </c>
      <c r="X20" s="77" t="s">
        <v>82</v>
      </c>
      <c r="Y20" s="77" t="s">
        <v>150</v>
      </c>
      <c r="Z20" s="77" t="s">
        <v>82</v>
      </c>
      <c r="AA20" s="83">
        <v>44330</v>
      </c>
      <c r="AB20" s="77">
        <f t="shared" ca="1" si="1"/>
        <v>37</v>
      </c>
      <c r="AC20" s="84">
        <v>8</v>
      </c>
      <c r="AD20" s="84">
        <v>0</v>
      </c>
      <c r="AE20" s="85">
        <v>0</v>
      </c>
      <c r="AF20" s="84" t="s">
        <v>58</v>
      </c>
      <c r="AG20" s="84">
        <v>0</v>
      </c>
      <c r="AH20" s="85">
        <v>0</v>
      </c>
      <c r="AI20" s="85">
        <v>1275936.9779999999</v>
      </c>
      <c r="AJ20" s="86">
        <f>IF(OR(Processos!$H20="Alienação",Processos!$H20="Concessão"),"",(N20-AI20)-(AE20+AH20))</f>
        <v>643411.18200000003</v>
      </c>
      <c r="AK20" s="87">
        <f t="shared" si="0"/>
        <v>0.33522379910479616</v>
      </c>
      <c r="AL20" s="79" t="s">
        <v>86</v>
      </c>
      <c r="AM20" s="88">
        <v>43972</v>
      </c>
      <c r="AN20" s="89">
        <v>44274</v>
      </c>
      <c r="AO20" s="90">
        <f>IF(Tabela1[[#This Row],[Data de aprovação]]="","",Tabela1[[#This Row],[Data de aprovação]]-Tabela1[[#This Row],[Data de abertura]])</f>
        <v>302</v>
      </c>
      <c r="AP20" s="91"/>
      <c r="AMG20" s="93"/>
      <c r="AMH20" s="93"/>
      <c r="AMI20" s="93"/>
      <c r="AMJ20" s="93"/>
    </row>
    <row r="21" spans="1:1024" s="92" customFormat="1" ht="15" customHeight="1" x14ac:dyDescent="0.15">
      <c r="A21" s="74"/>
      <c r="B21" s="75">
        <v>16</v>
      </c>
      <c r="C21" s="76" t="s">
        <v>151</v>
      </c>
      <c r="D21" s="77" t="s">
        <v>75</v>
      </c>
      <c r="E21" s="77" t="s">
        <v>76</v>
      </c>
      <c r="F21" s="77" t="s">
        <v>152</v>
      </c>
      <c r="G21" s="77" t="s">
        <v>153</v>
      </c>
      <c r="H21" s="77" t="s">
        <v>59</v>
      </c>
      <c r="I21" s="77" t="s">
        <v>154</v>
      </c>
      <c r="J21" s="77" t="s">
        <v>101</v>
      </c>
      <c r="K21" s="78">
        <v>44216</v>
      </c>
      <c r="L21" s="79" t="s">
        <v>81</v>
      </c>
      <c r="M21" s="77" t="s">
        <v>105</v>
      </c>
      <c r="N21" s="80">
        <v>1491496.5</v>
      </c>
      <c r="O21" s="77">
        <v>62</v>
      </c>
      <c r="P21" s="77">
        <v>1</v>
      </c>
      <c r="Q21" s="77" t="s">
        <v>82</v>
      </c>
      <c r="R21" s="77" t="s">
        <v>83</v>
      </c>
      <c r="S21" s="77" t="s">
        <v>82</v>
      </c>
      <c r="T21" s="77" t="s">
        <v>82</v>
      </c>
      <c r="U21" s="81">
        <v>44203</v>
      </c>
      <c r="V21" s="82">
        <v>0.35416666666666702</v>
      </c>
      <c r="W21" s="77" t="s">
        <v>82</v>
      </c>
      <c r="X21" s="77" t="s">
        <v>83</v>
      </c>
      <c r="Y21" s="77" t="s">
        <v>58</v>
      </c>
      <c r="Z21" s="77" t="s">
        <v>82</v>
      </c>
      <c r="AA21" s="83">
        <v>44216</v>
      </c>
      <c r="AB21" s="77">
        <f t="shared" ca="1" si="1"/>
        <v>13</v>
      </c>
      <c r="AC21" s="84">
        <v>62</v>
      </c>
      <c r="AD21" s="84">
        <v>0</v>
      </c>
      <c r="AE21" s="85">
        <v>0</v>
      </c>
      <c r="AF21" s="84" t="s">
        <v>58</v>
      </c>
      <c r="AG21" s="84">
        <v>0</v>
      </c>
      <c r="AH21" s="85">
        <v>0</v>
      </c>
      <c r="AI21" s="85">
        <v>950001</v>
      </c>
      <c r="AJ21" s="86">
        <f>IF(OR(Processos!$H21="Alienação",Processos!$H21="Concessão"),"",(N21-AI21)-(AE21+AH21))</f>
        <v>541495.5</v>
      </c>
      <c r="AK21" s="87">
        <f t="shared" si="0"/>
        <v>0.36305515970034125</v>
      </c>
      <c r="AL21" s="79" t="s">
        <v>86</v>
      </c>
      <c r="AM21" s="88">
        <v>44112</v>
      </c>
      <c r="AN21" s="89">
        <v>44166</v>
      </c>
      <c r="AO21" s="90">
        <f>IF(Tabela1[[#This Row],[Data de aprovação]]="","",Tabela1[[#This Row],[Data de aprovação]]-Tabela1[[#This Row],[Data de abertura]])</f>
        <v>54</v>
      </c>
      <c r="AP21" s="91"/>
      <c r="AMG21" s="93"/>
      <c r="AMH21" s="93"/>
      <c r="AMI21" s="93"/>
      <c r="AMJ21" s="93"/>
    </row>
    <row r="22" spans="1:1024" s="92" customFormat="1" ht="15" customHeight="1" x14ac:dyDescent="0.15">
      <c r="A22" s="74"/>
      <c r="B22" s="75">
        <v>17</v>
      </c>
      <c r="C22" s="76" t="s">
        <v>155</v>
      </c>
      <c r="D22" s="77" t="s">
        <v>139</v>
      </c>
      <c r="E22" s="77" t="s">
        <v>156</v>
      </c>
      <c r="F22" s="77" t="s">
        <v>157</v>
      </c>
      <c r="G22" s="77" t="s">
        <v>58</v>
      </c>
      <c r="H22" s="77" t="s">
        <v>141</v>
      </c>
      <c r="I22" s="77" t="s">
        <v>158</v>
      </c>
      <c r="J22" s="77" t="s">
        <v>80</v>
      </c>
      <c r="K22" s="78">
        <v>44265</v>
      </c>
      <c r="L22" s="79" t="s">
        <v>159</v>
      </c>
      <c r="M22" s="77" t="s">
        <v>73</v>
      </c>
      <c r="N22" s="80">
        <v>163800.26999999999</v>
      </c>
      <c r="O22" s="77">
        <v>1</v>
      </c>
      <c r="P22" s="77">
        <v>0</v>
      </c>
      <c r="Q22" s="77" t="s">
        <v>82</v>
      </c>
      <c r="R22" s="77" t="s">
        <v>83</v>
      </c>
      <c r="S22" s="77" t="s">
        <v>82</v>
      </c>
      <c r="T22" s="77" t="s">
        <v>83</v>
      </c>
      <c r="U22" s="81">
        <v>44207</v>
      </c>
      <c r="V22" s="82">
        <v>0.375</v>
      </c>
      <c r="W22" s="77" t="s">
        <v>84</v>
      </c>
      <c r="X22" s="77" t="s">
        <v>84</v>
      </c>
      <c r="Y22" s="77" t="s">
        <v>160</v>
      </c>
      <c r="Z22" s="77" t="s">
        <v>84</v>
      </c>
      <c r="AA22" s="83">
        <v>44263</v>
      </c>
      <c r="AB22" s="77">
        <f t="shared" ca="1" si="1"/>
        <v>56</v>
      </c>
      <c r="AC22" s="84">
        <v>1</v>
      </c>
      <c r="AD22" s="84">
        <v>0</v>
      </c>
      <c r="AE22" s="85">
        <v>0</v>
      </c>
      <c r="AF22" s="84" t="s">
        <v>58</v>
      </c>
      <c r="AG22" s="84">
        <v>0</v>
      </c>
      <c r="AH22" s="85">
        <v>0</v>
      </c>
      <c r="AI22" s="85">
        <v>158886.26190000001</v>
      </c>
      <c r="AJ22" s="86">
        <f>IF(OR(Processos!$H22="Alienação",Processos!$H22="Concessão"),"",(N22-AI22)-(AE22+AH22))</f>
        <v>4914.0080999999773</v>
      </c>
      <c r="AK22" s="87">
        <f t="shared" si="0"/>
        <v>2.9999999999999864E-2</v>
      </c>
      <c r="AL22" s="79" t="s">
        <v>86</v>
      </c>
      <c r="AM22" s="88">
        <v>44127</v>
      </c>
      <c r="AN22" s="89">
        <v>44172</v>
      </c>
      <c r="AO22" s="90">
        <f>IF(Tabela1[[#This Row],[Data de aprovação]]="","",Tabela1[[#This Row],[Data de aprovação]]-Tabela1[[#This Row],[Data de abertura]])</f>
        <v>45</v>
      </c>
      <c r="AP22" s="91"/>
      <c r="AMG22" s="93"/>
      <c r="AMH22" s="93"/>
      <c r="AMI22" s="93"/>
      <c r="AMJ22" s="93"/>
    </row>
    <row r="23" spans="1:1024" s="92" customFormat="1" ht="15" customHeight="1" x14ac:dyDescent="0.15">
      <c r="A23" s="74"/>
      <c r="B23" s="75">
        <v>18</v>
      </c>
      <c r="C23" s="76" t="s">
        <v>161</v>
      </c>
      <c r="D23" s="77" t="s">
        <v>139</v>
      </c>
      <c r="E23" s="77" t="s">
        <v>156</v>
      </c>
      <c r="F23" s="77" t="s">
        <v>162</v>
      </c>
      <c r="G23" s="77" t="s">
        <v>58</v>
      </c>
      <c r="H23" s="77" t="s">
        <v>141</v>
      </c>
      <c r="I23" s="77" t="s">
        <v>163</v>
      </c>
      <c r="J23" s="77" t="s">
        <v>164</v>
      </c>
      <c r="K23" s="78">
        <v>44225</v>
      </c>
      <c r="L23" s="79" t="s">
        <v>165</v>
      </c>
      <c r="M23" s="77" t="s">
        <v>73</v>
      </c>
      <c r="N23" s="80">
        <v>574378.51</v>
      </c>
      <c r="O23" s="77">
        <v>1</v>
      </c>
      <c r="P23" s="77">
        <v>0</v>
      </c>
      <c r="Q23" s="77" t="s">
        <v>82</v>
      </c>
      <c r="R23" s="77" t="s">
        <v>83</v>
      </c>
      <c r="S23" s="77" t="s">
        <v>82</v>
      </c>
      <c r="T23" s="77" t="s">
        <v>83</v>
      </c>
      <c r="U23" s="81">
        <v>44209</v>
      </c>
      <c r="V23" s="82">
        <v>0.375</v>
      </c>
      <c r="W23" s="77" t="s">
        <v>82</v>
      </c>
      <c r="X23" s="77" t="s">
        <v>83</v>
      </c>
      <c r="Y23" s="77" t="s">
        <v>58</v>
      </c>
      <c r="Z23" s="77" t="s">
        <v>83</v>
      </c>
      <c r="AA23" s="83">
        <v>44225</v>
      </c>
      <c r="AB23" s="77">
        <f t="shared" ca="1" si="1"/>
        <v>16</v>
      </c>
      <c r="AC23" s="84"/>
      <c r="AD23" s="84">
        <v>1</v>
      </c>
      <c r="AE23" s="85">
        <v>574378.51</v>
      </c>
      <c r="AF23" s="84" t="s">
        <v>166</v>
      </c>
      <c r="AG23" s="84">
        <v>0</v>
      </c>
      <c r="AH23" s="85">
        <v>0</v>
      </c>
      <c r="AI23" s="85">
        <v>0</v>
      </c>
      <c r="AJ23" s="86">
        <f>IF(OR(Processos!$H23="Alienação",Processos!$H23="Concessão"),"",(N23-AI23)-(AE23+AH23))</f>
        <v>0</v>
      </c>
      <c r="AK23" s="87">
        <f t="shared" si="0"/>
        <v>0</v>
      </c>
      <c r="AL23" s="79" t="s">
        <v>145</v>
      </c>
      <c r="AM23" s="88">
        <v>44139</v>
      </c>
      <c r="AN23" s="89">
        <v>44172</v>
      </c>
      <c r="AO23" s="90">
        <f>IF(Tabela1[[#This Row],[Data de aprovação]]="","",Tabela1[[#This Row],[Data de aprovação]]-Tabela1[[#This Row],[Data de abertura]])</f>
        <v>33</v>
      </c>
      <c r="AP23" s="91"/>
      <c r="AMG23" s="93"/>
      <c r="AMH23" s="93"/>
      <c r="AMI23" s="93"/>
      <c r="AMJ23" s="93"/>
    </row>
    <row r="24" spans="1:1024" s="92" customFormat="1" ht="15" customHeight="1" x14ac:dyDescent="0.15">
      <c r="A24" s="74"/>
      <c r="B24" s="75">
        <v>19</v>
      </c>
      <c r="C24" s="76" t="s">
        <v>167</v>
      </c>
      <c r="D24" s="77" t="s">
        <v>139</v>
      </c>
      <c r="E24" s="77" t="s">
        <v>156</v>
      </c>
      <c r="F24" s="77" t="s">
        <v>168</v>
      </c>
      <c r="G24" s="77" t="s">
        <v>58</v>
      </c>
      <c r="H24" s="77" t="s">
        <v>141</v>
      </c>
      <c r="I24" s="77" t="s">
        <v>169</v>
      </c>
      <c r="J24" s="77" t="s">
        <v>90</v>
      </c>
      <c r="K24" s="78">
        <v>44215</v>
      </c>
      <c r="L24" s="79" t="s">
        <v>165</v>
      </c>
      <c r="M24" s="77" t="s">
        <v>110</v>
      </c>
      <c r="N24" s="80">
        <v>620641.17000000004</v>
      </c>
      <c r="O24" s="77">
        <v>1</v>
      </c>
      <c r="P24" s="77">
        <v>0</v>
      </c>
      <c r="Q24" s="77" t="s">
        <v>82</v>
      </c>
      <c r="R24" s="77" t="s">
        <v>83</v>
      </c>
      <c r="S24" s="77" t="s">
        <v>82</v>
      </c>
      <c r="T24" s="77" t="s">
        <v>83</v>
      </c>
      <c r="U24" s="81">
        <v>44202</v>
      </c>
      <c r="V24" s="82">
        <v>0.375</v>
      </c>
      <c r="W24" s="77" t="s">
        <v>82</v>
      </c>
      <c r="X24" s="77" t="s">
        <v>83</v>
      </c>
      <c r="Y24" s="77" t="s">
        <v>58</v>
      </c>
      <c r="Z24" s="77" t="s">
        <v>82</v>
      </c>
      <c r="AA24" s="83">
        <v>44213</v>
      </c>
      <c r="AB24" s="77">
        <f t="shared" ca="1" si="1"/>
        <v>11</v>
      </c>
      <c r="AC24" s="84">
        <v>0</v>
      </c>
      <c r="AD24" s="84">
        <v>1</v>
      </c>
      <c r="AE24" s="85">
        <v>620641.17000000004</v>
      </c>
      <c r="AF24" s="84" t="s">
        <v>170</v>
      </c>
      <c r="AG24" s="84">
        <v>0</v>
      </c>
      <c r="AH24" s="85">
        <v>0</v>
      </c>
      <c r="AI24" s="85">
        <v>0</v>
      </c>
      <c r="AJ24" s="86">
        <f>IF(OR(Processos!$H24="Alienação",Processos!$H24="Concessão"),"",(N24-AI24)-(AE24+AH24))</f>
        <v>0</v>
      </c>
      <c r="AK24" s="87">
        <f t="shared" si="0"/>
        <v>0</v>
      </c>
      <c r="AL24" s="79" t="s">
        <v>145</v>
      </c>
      <c r="AM24" s="88">
        <v>44140</v>
      </c>
      <c r="AN24" s="89">
        <v>44172</v>
      </c>
      <c r="AO24" s="90">
        <f>IF(Tabela1[[#This Row],[Data de aprovação]]="","",Tabela1[[#This Row],[Data de aprovação]]-Tabela1[[#This Row],[Data de abertura]])</f>
        <v>32</v>
      </c>
      <c r="AP24" s="91"/>
      <c r="AMG24" s="93"/>
      <c r="AMH24" s="93"/>
      <c r="AMI24" s="93"/>
      <c r="AMJ24" s="93"/>
    </row>
    <row r="25" spans="1:1024" s="92" customFormat="1" ht="15" customHeight="1" x14ac:dyDescent="0.15">
      <c r="A25" s="74"/>
      <c r="B25" s="75">
        <v>20</v>
      </c>
      <c r="C25" s="76" t="s">
        <v>171</v>
      </c>
      <c r="D25" s="77" t="s">
        <v>75</v>
      </c>
      <c r="E25" s="77" t="s">
        <v>76</v>
      </c>
      <c r="F25" s="77" t="s">
        <v>172</v>
      </c>
      <c r="G25" s="77" t="s">
        <v>173</v>
      </c>
      <c r="H25" s="77" t="s">
        <v>174</v>
      </c>
      <c r="I25" s="77" t="s">
        <v>175</v>
      </c>
      <c r="J25" s="77" t="s">
        <v>80</v>
      </c>
      <c r="K25" s="78">
        <v>44228</v>
      </c>
      <c r="L25" s="79" t="s">
        <v>125</v>
      </c>
      <c r="M25" s="77" t="s">
        <v>105</v>
      </c>
      <c r="N25" s="80">
        <v>192682.49</v>
      </c>
      <c r="O25" s="77">
        <v>101</v>
      </c>
      <c r="P25" s="77">
        <v>0</v>
      </c>
      <c r="Q25" s="77" t="s">
        <v>82</v>
      </c>
      <c r="R25" s="77" t="s">
        <v>83</v>
      </c>
      <c r="S25" s="77" t="s">
        <v>82</v>
      </c>
      <c r="T25" s="77" t="s">
        <v>82</v>
      </c>
      <c r="U25" s="81">
        <v>44202</v>
      </c>
      <c r="V25" s="82">
        <v>0.35416666666666702</v>
      </c>
      <c r="W25" s="77" t="s">
        <v>82</v>
      </c>
      <c r="X25" s="77" t="s">
        <v>83</v>
      </c>
      <c r="Y25" s="77" t="s">
        <v>58</v>
      </c>
      <c r="Z25" s="77" t="s">
        <v>82</v>
      </c>
      <c r="AA25" s="83">
        <v>44225</v>
      </c>
      <c r="AB25" s="77"/>
      <c r="AC25" s="84">
        <v>63</v>
      </c>
      <c r="AD25" s="84">
        <v>25</v>
      </c>
      <c r="AE25" s="85">
        <v>24408.26</v>
      </c>
      <c r="AF25" s="84" t="s">
        <v>176</v>
      </c>
      <c r="AG25" s="84">
        <v>13</v>
      </c>
      <c r="AH25" s="85">
        <v>12028.35</v>
      </c>
      <c r="AI25" s="85">
        <v>137935.78000000003</v>
      </c>
      <c r="AJ25" s="86">
        <f>IF(OR(Processos!$H25="Alienação",Processos!$H25="Concessão"),"",(N25-AI25)-(AE25+AH25))</f>
        <v>18310.099999999962</v>
      </c>
      <c r="AK25" s="87">
        <f t="shared" si="0"/>
        <v>9.5027316701169706E-2</v>
      </c>
      <c r="AL25" s="79" t="s">
        <v>86</v>
      </c>
      <c r="AM25" s="88">
        <v>44055</v>
      </c>
      <c r="AN25" s="89">
        <v>44167</v>
      </c>
      <c r="AO25" s="90">
        <f>IF(Tabela1[[#This Row],[Data de aprovação]]="","",Tabela1[[#This Row],[Data de aprovação]]-Tabela1[[#This Row],[Data de abertura]])</f>
        <v>112</v>
      </c>
      <c r="AP25" s="91"/>
      <c r="AMG25" s="93"/>
      <c r="AMH25" s="93"/>
      <c r="AMI25" s="93"/>
      <c r="AMJ25" s="93"/>
    </row>
    <row r="26" spans="1:1024" s="92" customFormat="1" ht="15" customHeight="1" x14ac:dyDescent="0.15">
      <c r="A26" s="74"/>
      <c r="B26" s="75">
        <v>21</v>
      </c>
      <c r="C26" s="76" t="s">
        <v>177</v>
      </c>
      <c r="D26" s="77" t="s">
        <v>75</v>
      </c>
      <c r="E26" s="77" t="s">
        <v>76</v>
      </c>
      <c r="F26" s="77" t="s">
        <v>178</v>
      </c>
      <c r="G26" s="77" t="s">
        <v>179</v>
      </c>
      <c r="H26" s="77" t="s">
        <v>174</v>
      </c>
      <c r="I26" s="77" t="s">
        <v>180</v>
      </c>
      <c r="J26" s="77" t="s">
        <v>181</v>
      </c>
      <c r="K26" s="78">
        <v>44216</v>
      </c>
      <c r="L26" s="79" t="s">
        <v>125</v>
      </c>
      <c r="M26" s="77" t="s">
        <v>63</v>
      </c>
      <c r="N26" s="80">
        <v>703494.95</v>
      </c>
      <c r="O26" s="77">
        <v>20</v>
      </c>
      <c r="P26" s="77">
        <v>0</v>
      </c>
      <c r="Q26" s="77" t="s">
        <v>82</v>
      </c>
      <c r="R26" s="77" t="s">
        <v>83</v>
      </c>
      <c r="S26" s="77" t="s">
        <v>82</v>
      </c>
      <c r="T26" s="77" t="s">
        <v>83</v>
      </c>
      <c r="U26" s="81">
        <v>44202</v>
      </c>
      <c r="V26" s="82">
        <v>0.41666666666666713</v>
      </c>
      <c r="W26" s="77" t="s">
        <v>82</v>
      </c>
      <c r="X26" s="77" t="s">
        <v>83</v>
      </c>
      <c r="Y26" s="77" t="s">
        <v>182</v>
      </c>
      <c r="Z26" s="77" t="s">
        <v>83</v>
      </c>
      <c r="AA26" s="83">
        <v>44215</v>
      </c>
      <c r="AB26" s="77">
        <f t="shared" ref="AB26:AB58" ca="1" si="2">IF(U26="","",IF(AA26="",TODAY()-U26,IF(AA26-U26,AA26-U26,0)))</f>
        <v>13</v>
      </c>
      <c r="AC26" s="84">
        <v>19</v>
      </c>
      <c r="AD26" s="84">
        <v>1</v>
      </c>
      <c r="AE26" s="85">
        <v>1806.24</v>
      </c>
      <c r="AF26" s="84" t="s">
        <v>183</v>
      </c>
      <c r="AG26" s="84">
        <v>0</v>
      </c>
      <c r="AH26" s="85">
        <v>0</v>
      </c>
      <c r="AI26" s="85">
        <v>367280.8</v>
      </c>
      <c r="AJ26" s="86">
        <f>IF(OR(Processos!$H26="Alienação",Processos!$H26="Concessão"),"",(N26-AI26)-(AE26+AH26))</f>
        <v>334407.90999999997</v>
      </c>
      <c r="AK26" s="87">
        <f t="shared" si="0"/>
        <v>0.47535225377239732</v>
      </c>
      <c r="AL26" s="79" t="s">
        <v>86</v>
      </c>
      <c r="AM26" s="88">
        <v>44102</v>
      </c>
      <c r="AN26" s="89">
        <v>44167</v>
      </c>
      <c r="AO26" s="90">
        <f>IF(Tabela1[[#This Row],[Data de aprovação]]="","",Tabela1[[#This Row],[Data de aprovação]]-Tabela1[[#This Row],[Data de abertura]])</f>
        <v>65</v>
      </c>
      <c r="AP26" s="91"/>
      <c r="AMG26" s="93"/>
      <c r="AMH26" s="93"/>
      <c r="AMI26" s="93"/>
      <c r="AMJ26" s="93"/>
    </row>
    <row r="27" spans="1:1024" s="92" customFormat="1" ht="15" customHeight="1" x14ac:dyDescent="0.15">
      <c r="A27" s="74"/>
      <c r="B27" s="75">
        <v>22</v>
      </c>
      <c r="C27" s="76" t="s">
        <v>184</v>
      </c>
      <c r="D27" s="77" t="s">
        <v>75</v>
      </c>
      <c r="E27" s="77" t="s">
        <v>76</v>
      </c>
      <c r="F27" s="77" t="s">
        <v>185</v>
      </c>
      <c r="G27" s="77" t="s">
        <v>186</v>
      </c>
      <c r="H27" s="77" t="s">
        <v>174</v>
      </c>
      <c r="I27" s="77" t="s">
        <v>187</v>
      </c>
      <c r="J27" s="77" t="s">
        <v>101</v>
      </c>
      <c r="K27" s="78">
        <v>44229</v>
      </c>
      <c r="L27" s="79" t="s">
        <v>125</v>
      </c>
      <c r="M27" s="77" t="s">
        <v>73</v>
      </c>
      <c r="N27" s="80">
        <v>1873536.94</v>
      </c>
      <c r="O27" s="77">
        <v>53</v>
      </c>
      <c r="P27" s="77">
        <v>1</v>
      </c>
      <c r="Q27" s="77" t="s">
        <v>82</v>
      </c>
      <c r="R27" s="77" t="s">
        <v>83</v>
      </c>
      <c r="S27" s="77" t="s">
        <v>82</v>
      </c>
      <c r="T27" s="77" t="s">
        <v>83</v>
      </c>
      <c r="U27" s="81">
        <v>44214</v>
      </c>
      <c r="V27" s="82">
        <v>0.375</v>
      </c>
      <c r="W27" s="77" t="s">
        <v>82</v>
      </c>
      <c r="X27" s="77" t="s">
        <v>83</v>
      </c>
      <c r="Y27" s="77" t="s">
        <v>58</v>
      </c>
      <c r="Z27" s="77" t="s">
        <v>83</v>
      </c>
      <c r="AA27" s="83">
        <v>44228</v>
      </c>
      <c r="AB27" s="77">
        <f t="shared" ca="1" si="2"/>
        <v>14</v>
      </c>
      <c r="AC27" s="84"/>
      <c r="AD27" s="84">
        <v>1</v>
      </c>
      <c r="AE27" s="85">
        <v>21018.400000000001</v>
      </c>
      <c r="AF27" s="84" t="s">
        <v>188</v>
      </c>
      <c r="AG27" s="84">
        <v>0</v>
      </c>
      <c r="AH27" s="85">
        <v>0</v>
      </c>
      <c r="AI27" s="85">
        <v>1036166.75</v>
      </c>
      <c r="AJ27" s="86">
        <f>IF(OR(Processos!$H27="Alienação",Processos!$H27="Concessão"),"",(N27-AI27)-(AE27+AH27))</f>
        <v>816351.78999999992</v>
      </c>
      <c r="AK27" s="87">
        <f t="shared" si="0"/>
        <v>0.43572761901347934</v>
      </c>
      <c r="AL27" s="79" t="s">
        <v>86</v>
      </c>
      <c r="AM27" s="88">
        <v>44118</v>
      </c>
      <c r="AN27" s="89">
        <v>44167</v>
      </c>
      <c r="AO27" s="90">
        <f>IF(Tabela1[[#This Row],[Data de aprovação]]="","",Tabela1[[#This Row],[Data de aprovação]]-Tabela1[[#This Row],[Data de abertura]])</f>
        <v>49</v>
      </c>
      <c r="AP27" s="91"/>
      <c r="AMG27" s="93"/>
      <c r="AMH27" s="93"/>
      <c r="AMI27" s="93"/>
      <c r="AMJ27" s="93"/>
    </row>
    <row r="28" spans="1:1024" s="92" customFormat="1" ht="15" customHeight="1" x14ac:dyDescent="0.15">
      <c r="A28" s="74"/>
      <c r="B28" s="75">
        <v>23</v>
      </c>
      <c r="C28" s="76" t="s">
        <v>189</v>
      </c>
      <c r="D28" s="77" t="s">
        <v>75</v>
      </c>
      <c r="E28" s="77" t="s">
        <v>76</v>
      </c>
      <c r="F28" s="77" t="s">
        <v>190</v>
      </c>
      <c r="G28" s="77" t="s">
        <v>191</v>
      </c>
      <c r="H28" s="77" t="s">
        <v>59</v>
      </c>
      <c r="I28" s="77" t="s">
        <v>192</v>
      </c>
      <c r="J28" s="77" t="s">
        <v>193</v>
      </c>
      <c r="K28" s="78">
        <v>44279</v>
      </c>
      <c r="L28" s="79" t="s">
        <v>115</v>
      </c>
      <c r="M28" s="77" t="s">
        <v>110</v>
      </c>
      <c r="N28" s="80">
        <v>6797437.7999999998</v>
      </c>
      <c r="O28" s="77">
        <v>17</v>
      </c>
      <c r="P28" s="77">
        <v>5</v>
      </c>
      <c r="Q28" s="77" t="s">
        <v>82</v>
      </c>
      <c r="R28" s="77" t="s">
        <v>83</v>
      </c>
      <c r="S28" s="77" t="s">
        <v>82</v>
      </c>
      <c r="T28" s="77" t="s">
        <v>83</v>
      </c>
      <c r="U28" s="81">
        <v>44228</v>
      </c>
      <c r="V28" s="82">
        <v>0.375</v>
      </c>
      <c r="W28" s="77" t="s">
        <v>84</v>
      </c>
      <c r="X28" s="77" t="s">
        <v>82</v>
      </c>
      <c r="Y28" s="77" t="s">
        <v>195</v>
      </c>
      <c r="Z28" s="77" t="s">
        <v>82</v>
      </c>
      <c r="AA28" s="83">
        <v>44277</v>
      </c>
      <c r="AB28" s="77">
        <f t="shared" ca="1" si="2"/>
        <v>49</v>
      </c>
      <c r="AC28" s="84">
        <v>17</v>
      </c>
      <c r="AD28" s="84">
        <v>0</v>
      </c>
      <c r="AE28" s="85">
        <v>0</v>
      </c>
      <c r="AF28" s="84" t="s">
        <v>58</v>
      </c>
      <c r="AG28" s="84">
        <v>0</v>
      </c>
      <c r="AH28" s="85">
        <v>0</v>
      </c>
      <c r="AI28" s="85">
        <v>5387551.0800000001</v>
      </c>
      <c r="AJ28" s="86">
        <f>IF(OR(Processos!$H28="Alienação",Processos!$H28="Concessão"),"",(N28-AI28)-(AE28+AH28))</f>
        <v>1409886.7199999997</v>
      </c>
      <c r="AK28" s="87">
        <f t="shared" si="0"/>
        <v>0.20741443489192349</v>
      </c>
      <c r="AL28" s="79" t="s">
        <v>86</v>
      </c>
      <c r="AM28" s="88">
        <v>44097</v>
      </c>
      <c r="AN28" s="89"/>
      <c r="AO28" s="90" t="str">
        <f>IF(Tabela1[[#This Row],[Data de aprovação]]="","",Tabela1[[#This Row],[Data de aprovação]]-Tabela1[[#This Row],[Data de abertura]])</f>
        <v/>
      </c>
      <c r="AP28" s="91"/>
      <c r="AMG28" s="93"/>
      <c r="AMH28" s="93"/>
      <c r="AMI28" s="93"/>
      <c r="AMJ28" s="93"/>
    </row>
    <row r="29" spans="1:1024" s="92" customFormat="1" ht="15" customHeight="1" x14ac:dyDescent="0.15">
      <c r="A29" s="74"/>
      <c r="B29" s="75">
        <v>24</v>
      </c>
      <c r="C29" s="76" t="s">
        <v>196</v>
      </c>
      <c r="D29" s="77" t="s">
        <v>75</v>
      </c>
      <c r="E29" s="77" t="s">
        <v>76</v>
      </c>
      <c r="F29" s="77" t="s">
        <v>197</v>
      </c>
      <c r="G29" s="77" t="s">
        <v>198</v>
      </c>
      <c r="H29" s="77" t="s">
        <v>59</v>
      </c>
      <c r="I29" s="77" t="s">
        <v>199</v>
      </c>
      <c r="J29" s="77" t="s">
        <v>200</v>
      </c>
      <c r="K29" s="78">
        <v>44215</v>
      </c>
      <c r="L29" s="79" t="s">
        <v>81</v>
      </c>
      <c r="M29" s="77" t="s">
        <v>110</v>
      </c>
      <c r="N29" s="80">
        <v>378213.12</v>
      </c>
      <c r="O29" s="77">
        <v>2</v>
      </c>
      <c r="P29" s="77">
        <v>0</v>
      </c>
      <c r="Q29" s="77" t="s">
        <v>82</v>
      </c>
      <c r="R29" s="77" t="s">
        <v>83</v>
      </c>
      <c r="S29" s="77" t="s">
        <v>82</v>
      </c>
      <c r="T29" s="77" t="s">
        <v>82</v>
      </c>
      <c r="U29" s="81">
        <v>44204</v>
      </c>
      <c r="V29" s="82">
        <v>0.375</v>
      </c>
      <c r="W29" s="77" t="s">
        <v>82</v>
      </c>
      <c r="X29" s="77" t="s">
        <v>83</v>
      </c>
      <c r="Y29" s="77" t="s">
        <v>58</v>
      </c>
      <c r="Z29" s="77" t="s">
        <v>82</v>
      </c>
      <c r="AA29" s="83">
        <v>44213</v>
      </c>
      <c r="AB29" s="77">
        <f t="shared" ca="1" si="2"/>
        <v>9</v>
      </c>
      <c r="AC29" s="84">
        <v>2</v>
      </c>
      <c r="AD29" s="84">
        <v>0</v>
      </c>
      <c r="AE29" s="85">
        <v>0</v>
      </c>
      <c r="AF29" s="84" t="s">
        <v>58</v>
      </c>
      <c r="AG29" s="84">
        <v>0</v>
      </c>
      <c r="AH29" s="85">
        <v>0</v>
      </c>
      <c r="AI29" s="85">
        <v>319468.79999999999</v>
      </c>
      <c r="AJ29" s="86">
        <f>IF(OR(Processos!$H29="Alienação",Processos!$H29="Concessão"),"",(N29-AI29)-(AE29+AH29))</f>
        <v>58744.320000000007</v>
      </c>
      <c r="AK29" s="87">
        <f t="shared" si="0"/>
        <v>0.15532068268810983</v>
      </c>
      <c r="AL29" s="79" t="s">
        <v>86</v>
      </c>
      <c r="AM29" s="88">
        <v>44168</v>
      </c>
      <c r="AN29" s="89">
        <v>44183</v>
      </c>
      <c r="AO29" s="90">
        <f>IF(Tabela1[[#This Row],[Data de aprovação]]="","",Tabela1[[#This Row],[Data de aprovação]]-Tabela1[[#This Row],[Data de abertura]])</f>
        <v>15</v>
      </c>
      <c r="AP29" s="91"/>
      <c r="AMG29" s="93"/>
      <c r="AMH29" s="93"/>
      <c r="AMI29" s="93"/>
      <c r="AMJ29" s="93"/>
    </row>
    <row r="30" spans="1:1024" s="92" customFormat="1" ht="15" customHeight="1" x14ac:dyDescent="0.15">
      <c r="A30" s="74"/>
      <c r="B30" s="75">
        <v>25</v>
      </c>
      <c r="C30" s="76" t="s">
        <v>201</v>
      </c>
      <c r="D30" s="77" t="s">
        <v>75</v>
      </c>
      <c r="E30" s="77" t="s">
        <v>76</v>
      </c>
      <c r="F30" s="77" t="s">
        <v>202</v>
      </c>
      <c r="G30" s="77" t="s">
        <v>203</v>
      </c>
      <c r="H30" s="77" t="s">
        <v>59</v>
      </c>
      <c r="I30" s="77" t="s">
        <v>204</v>
      </c>
      <c r="J30" s="77" t="s">
        <v>205</v>
      </c>
      <c r="K30" s="78">
        <v>44195</v>
      </c>
      <c r="L30" s="79" t="s">
        <v>72</v>
      </c>
      <c r="M30" s="77" t="s">
        <v>206</v>
      </c>
      <c r="N30" s="80">
        <v>73089.89999999998</v>
      </c>
      <c r="O30" s="77">
        <v>6</v>
      </c>
      <c r="P30" s="77">
        <v>1</v>
      </c>
      <c r="Q30" s="77"/>
      <c r="R30" s="77"/>
      <c r="S30" s="77"/>
      <c r="T30" s="77"/>
      <c r="U30" s="81"/>
      <c r="V30" s="82"/>
      <c r="W30" s="77"/>
      <c r="X30" s="77"/>
      <c r="Y30" s="77"/>
      <c r="Z30" s="77"/>
      <c r="AA30" s="83"/>
      <c r="AB30" s="77" t="str">
        <f t="shared" ca="1" si="2"/>
        <v/>
      </c>
      <c r="AC30" s="84"/>
      <c r="AD30" s="84"/>
      <c r="AE30" s="85"/>
      <c r="AF30" s="84"/>
      <c r="AG30" s="84"/>
      <c r="AH30" s="85"/>
      <c r="AI30" s="85"/>
      <c r="AJ30" s="86">
        <f>IF(OR(Processos!$H30="Alienação",Processos!$H30="Concessão"),"",(N30-AI30)-(AE30+AH30))</f>
        <v>73089.89999999998</v>
      </c>
      <c r="AK30" s="87">
        <f t="shared" si="0"/>
        <v>1</v>
      </c>
      <c r="AL30" s="79"/>
      <c r="AM30" s="88">
        <v>44183</v>
      </c>
      <c r="AN30" s="89"/>
      <c r="AO30" s="90" t="str">
        <f>IF(Tabela1[[#This Row],[Data de aprovação]]="","",Tabela1[[#This Row],[Data de aprovação]]-Tabela1[[#This Row],[Data de abertura]])</f>
        <v/>
      </c>
      <c r="AP30" s="91"/>
      <c r="AMG30" s="93"/>
      <c r="AMH30" s="93"/>
      <c r="AMI30" s="93"/>
      <c r="AMJ30" s="93"/>
    </row>
    <row r="31" spans="1:1024" s="92" customFormat="1" ht="15" customHeight="1" x14ac:dyDescent="0.15">
      <c r="A31" s="74"/>
      <c r="B31" s="75">
        <v>26</v>
      </c>
      <c r="C31" s="76" t="s">
        <v>207</v>
      </c>
      <c r="D31" s="77" t="s">
        <v>75</v>
      </c>
      <c r="E31" s="77" t="s">
        <v>76</v>
      </c>
      <c r="F31" s="77" t="s">
        <v>203</v>
      </c>
      <c r="G31" s="77" t="s">
        <v>208</v>
      </c>
      <c r="H31" s="77" t="s">
        <v>174</v>
      </c>
      <c r="I31" s="77" t="s">
        <v>209</v>
      </c>
      <c r="J31" s="77" t="s">
        <v>210</v>
      </c>
      <c r="K31" s="78">
        <v>44230</v>
      </c>
      <c r="L31" s="79" t="s">
        <v>125</v>
      </c>
      <c r="M31" s="77" t="s">
        <v>63</v>
      </c>
      <c r="N31" s="80">
        <v>8432647.5600000005</v>
      </c>
      <c r="O31" s="77">
        <v>57</v>
      </c>
      <c r="P31" s="77">
        <v>0</v>
      </c>
      <c r="Q31" s="77" t="s">
        <v>84</v>
      </c>
      <c r="R31" s="77" t="s">
        <v>82</v>
      </c>
      <c r="S31" s="77" t="s">
        <v>82</v>
      </c>
      <c r="T31" s="77" t="s">
        <v>83</v>
      </c>
      <c r="U31" s="81">
        <v>44216</v>
      </c>
      <c r="V31" s="82">
        <v>0.41666666666666713</v>
      </c>
      <c r="W31" s="77" t="s">
        <v>82</v>
      </c>
      <c r="X31" s="77" t="s">
        <v>83</v>
      </c>
      <c r="Y31" s="77" t="s">
        <v>58</v>
      </c>
      <c r="Z31" s="77" t="s">
        <v>83</v>
      </c>
      <c r="AA31" s="83">
        <v>44229</v>
      </c>
      <c r="AB31" s="77">
        <f t="shared" ca="1" si="2"/>
        <v>13</v>
      </c>
      <c r="AC31" s="84">
        <v>41</v>
      </c>
      <c r="AD31" s="84">
        <v>12</v>
      </c>
      <c r="AE31" s="85">
        <v>1188848.6599999999</v>
      </c>
      <c r="AF31" s="84" t="s">
        <v>183</v>
      </c>
      <c r="AG31" s="84">
        <v>4</v>
      </c>
      <c r="AH31" s="85">
        <v>1398.74</v>
      </c>
      <c r="AI31" s="85">
        <v>4027077.24</v>
      </c>
      <c r="AJ31" s="86">
        <f>IF(OR(Processos!$H31="Alienação",Processos!$H31="Concessão"),"",(N31-AI31)-(AE31+AH31))</f>
        <v>3215322.9200000004</v>
      </c>
      <c r="AK31" s="87">
        <f t="shared" si="0"/>
        <v>0.38129459308269731</v>
      </c>
      <c r="AL31" s="79" t="s">
        <v>86</v>
      </c>
      <c r="AM31" s="88">
        <v>44102</v>
      </c>
      <c r="AN31" s="89">
        <v>44200</v>
      </c>
      <c r="AO31" s="90">
        <f>IF(Tabela1[[#This Row],[Data de aprovação]]="","",Tabela1[[#This Row],[Data de aprovação]]-Tabela1[[#This Row],[Data de abertura]])</f>
        <v>98</v>
      </c>
      <c r="AP31" s="91"/>
      <c r="AMG31" s="93"/>
      <c r="AMH31" s="93"/>
      <c r="AMI31" s="93"/>
      <c r="AMJ31" s="93"/>
    </row>
    <row r="32" spans="1:1024" s="92" customFormat="1" ht="15" customHeight="1" x14ac:dyDescent="0.15">
      <c r="A32" s="74"/>
      <c r="B32" s="75">
        <v>27</v>
      </c>
      <c r="C32" s="76" t="s">
        <v>211</v>
      </c>
      <c r="D32" s="77" t="s">
        <v>75</v>
      </c>
      <c r="E32" s="77" t="s">
        <v>76</v>
      </c>
      <c r="F32" s="77" t="s">
        <v>212</v>
      </c>
      <c r="G32" s="77" t="s">
        <v>213</v>
      </c>
      <c r="H32" s="77" t="s">
        <v>174</v>
      </c>
      <c r="I32" s="77" t="s">
        <v>214</v>
      </c>
      <c r="J32" s="77" t="s">
        <v>210</v>
      </c>
      <c r="K32" s="78">
        <v>44249</v>
      </c>
      <c r="L32" s="79" t="s">
        <v>125</v>
      </c>
      <c r="M32" s="77" t="s">
        <v>206</v>
      </c>
      <c r="N32" s="80">
        <v>20787</v>
      </c>
      <c r="O32" s="77">
        <v>91</v>
      </c>
      <c r="P32" s="77">
        <v>0</v>
      </c>
      <c r="Q32" s="77" t="s">
        <v>82</v>
      </c>
      <c r="R32" s="77" t="s">
        <v>83</v>
      </c>
      <c r="S32" s="77" t="s">
        <v>82</v>
      </c>
      <c r="T32" s="77" t="s">
        <v>82</v>
      </c>
      <c r="U32" s="81">
        <v>44229</v>
      </c>
      <c r="V32" s="82">
        <v>0.375</v>
      </c>
      <c r="W32" s="77" t="s">
        <v>82</v>
      </c>
      <c r="X32" s="77" t="s">
        <v>83</v>
      </c>
      <c r="Y32" s="77"/>
      <c r="Z32" s="77" t="s">
        <v>82</v>
      </c>
      <c r="AA32" s="83">
        <v>44245</v>
      </c>
      <c r="AB32" s="77">
        <f t="shared" ca="1" si="2"/>
        <v>16</v>
      </c>
      <c r="AC32" s="84">
        <v>78</v>
      </c>
      <c r="AD32" s="84"/>
      <c r="AE32" s="85"/>
      <c r="AF32" s="84"/>
      <c r="AG32" s="84">
        <v>13</v>
      </c>
      <c r="AH32" s="85">
        <v>3372.16</v>
      </c>
      <c r="AI32" s="85">
        <v>12927.28</v>
      </c>
      <c r="AJ32" s="86">
        <f>IF(OR(Processos!$H32="Alienação",Processos!$H32="Concessão"),"",(N32-AI32)-(AE32+AH32))</f>
        <v>4487.5599999999995</v>
      </c>
      <c r="AK32" s="87">
        <f t="shared" si="0"/>
        <v>0.21588300380045219</v>
      </c>
      <c r="AL32" s="79" t="s">
        <v>86</v>
      </c>
      <c r="AM32" s="88">
        <v>44102</v>
      </c>
      <c r="AN32" s="89">
        <v>44209</v>
      </c>
      <c r="AO32" s="90">
        <f>IF(Tabela1[[#This Row],[Data de aprovação]]="","",Tabela1[[#This Row],[Data de aprovação]]-Tabela1[[#This Row],[Data de abertura]])</f>
        <v>107</v>
      </c>
      <c r="AP32" s="91"/>
      <c r="AMG32" s="93"/>
      <c r="AMH32" s="93"/>
      <c r="AMI32" s="93"/>
      <c r="AMJ32" s="93"/>
    </row>
    <row r="33" spans="1:1024" s="92" customFormat="1" ht="15" customHeight="1" x14ac:dyDescent="0.15">
      <c r="A33" s="74"/>
      <c r="B33" s="75">
        <v>28</v>
      </c>
      <c r="C33" s="76" t="s">
        <v>215</v>
      </c>
      <c r="D33" s="77" t="s">
        <v>75</v>
      </c>
      <c r="E33" s="77" t="s">
        <v>76</v>
      </c>
      <c r="F33" s="77" t="s">
        <v>216</v>
      </c>
      <c r="G33" s="77" t="s">
        <v>217</v>
      </c>
      <c r="H33" s="77" t="s">
        <v>174</v>
      </c>
      <c r="I33" s="77" t="s">
        <v>218</v>
      </c>
      <c r="J33" s="77" t="s">
        <v>137</v>
      </c>
      <c r="K33" s="78">
        <v>44236</v>
      </c>
      <c r="L33" s="79" t="s">
        <v>125</v>
      </c>
      <c r="M33" s="77" t="s">
        <v>96</v>
      </c>
      <c r="N33" s="80">
        <v>42462.43</v>
      </c>
      <c r="O33" s="77">
        <v>93</v>
      </c>
      <c r="P33" s="77">
        <v>0</v>
      </c>
      <c r="Q33" s="77" t="s">
        <v>82</v>
      </c>
      <c r="R33" s="77" t="s">
        <v>83</v>
      </c>
      <c r="S33" s="77" t="s">
        <v>82</v>
      </c>
      <c r="T33" s="77" t="s">
        <v>83</v>
      </c>
      <c r="U33" s="81">
        <v>44228</v>
      </c>
      <c r="V33" s="82">
        <v>0.41666666666666713</v>
      </c>
      <c r="W33" s="77" t="s">
        <v>82</v>
      </c>
      <c r="X33" s="77" t="s">
        <v>83</v>
      </c>
      <c r="Y33" s="77" t="s">
        <v>58</v>
      </c>
      <c r="Z33" s="77" t="s">
        <v>83</v>
      </c>
      <c r="AA33" s="83">
        <v>44235</v>
      </c>
      <c r="AB33" s="77">
        <f t="shared" ca="1" si="2"/>
        <v>7</v>
      </c>
      <c r="AC33" s="84">
        <v>71</v>
      </c>
      <c r="AD33" s="84">
        <v>9</v>
      </c>
      <c r="AE33" s="85">
        <v>2265.6</v>
      </c>
      <c r="AF33" s="84" t="s">
        <v>188</v>
      </c>
      <c r="AG33" s="84">
        <v>13</v>
      </c>
      <c r="AH33" s="85">
        <v>4399.0001000000002</v>
      </c>
      <c r="AI33" s="85">
        <v>29619.55</v>
      </c>
      <c r="AJ33" s="86">
        <f>IF(OR(Processos!$H33="Alienação",Processos!$H33="Concessão"),"",(N33-AI33)-(AE33+AH33))</f>
        <v>6178.2799000000014</v>
      </c>
      <c r="AK33" s="87">
        <f t="shared" si="0"/>
        <v>0.14549991368840645</v>
      </c>
      <c r="AL33" s="79" t="s">
        <v>86</v>
      </c>
      <c r="AM33" s="88">
        <v>44102</v>
      </c>
      <c r="AN33" s="89">
        <v>44209</v>
      </c>
      <c r="AO33" s="90">
        <f>IF(Tabela1[[#This Row],[Data de aprovação]]="","",Tabela1[[#This Row],[Data de aprovação]]-Tabela1[[#This Row],[Data de abertura]])</f>
        <v>107</v>
      </c>
      <c r="AP33" s="91"/>
      <c r="AMG33" s="93"/>
      <c r="AMH33" s="93"/>
      <c r="AMI33" s="93"/>
      <c r="AMJ33" s="93"/>
    </row>
    <row r="34" spans="1:1024" s="92" customFormat="1" ht="15" customHeight="1" x14ac:dyDescent="0.15">
      <c r="A34" s="74"/>
      <c r="B34" s="75">
        <v>29</v>
      </c>
      <c r="C34" s="76" t="s">
        <v>219</v>
      </c>
      <c r="D34" s="77" t="s">
        <v>75</v>
      </c>
      <c r="E34" s="77" t="s">
        <v>76</v>
      </c>
      <c r="F34" s="77" t="s">
        <v>220</v>
      </c>
      <c r="G34" s="77" t="s">
        <v>212</v>
      </c>
      <c r="H34" s="77" t="s">
        <v>174</v>
      </c>
      <c r="I34" s="77" t="s">
        <v>221</v>
      </c>
      <c r="J34" s="77" t="s">
        <v>124</v>
      </c>
      <c r="K34" s="78">
        <v>44214</v>
      </c>
      <c r="L34" s="79" t="s">
        <v>222</v>
      </c>
      <c r="M34" s="77" t="s">
        <v>206</v>
      </c>
      <c r="N34" s="80">
        <v>291689.43</v>
      </c>
      <c r="O34" s="77">
        <v>81</v>
      </c>
      <c r="P34" s="77">
        <v>0</v>
      </c>
      <c r="Q34" s="77" t="s">
        <v>82</v>
      </c>
      <c r="R34" s="77" t="s">
        <v>83</v>
      </c>
      <c r="S34" s="77" t="s">
        <v>82</v>
      </c>
      <c r="T34" s="77" t="s">
        <v>82</v>
      </c>
      <c r="U34" s="81">
        <v>44231</v>
      </c>
      <c r="V34" s="82">
        <v>0.375</v>
      </c>
      <c r="W34" s="77" t="s">
        <v>82</v>
      </c>
      <c r="X34" s="77" t="s">
        <v>83</v>
      </c>
      <c r="Y34" s="77"/>
      <c r="Z34" s="77" t="s">
        <v>82</v>
      </c>
      <c r="AA34" s="83"/>
      <c r="AB34" s="77">
        <f t="shared" ca="1" si="2"/>
        <v>221</v>
      </c>
      <c r="AC34" s="84">
        <v>67</v>
      </c>
      <c r="AD34" s="84"/>
      <c r="AE34" s="85"/>
      <c r="AF34" s="84"/>
      <c r="AG34" s="84">
        <v>14</v>
      </c>
      <c r="AH34" s="85">
        <v>10140.790000000001</v>
      </c>
      <c r="AI34" s="85">
        <v>74140.03</v>
      </c>
      <c r="AJ34" s="86">
        <f>IF(OR(Processos!$H34="Alienação",Processos!$H34="Concessão"),"",(N34-AI34)-(AE34+AH34))</f>
        <v>207408.61</v>
      </c>
      <c r="AK34" s="87">
        <f t="shared" si="0"/>
        <v>0.71105973912047493</v>
      </c>
      <c r="AL34" s="79"/>
      <c r="AM34" s="88">
        <v>44055</v>
      </c>
      <c r="AN34" s="89">
        <v>44209</v>
      </c>
      <c r="AO34" s="90">
        <f>IF(Tabela1[[#This Row],[Data de aprovação]]="","",Tabela1[[#This Row],[Data de aprovação]]-Tabela1[[#This Row],[Data de abertura]])</f>
        <v>154</v>
      </c>
      <c r="AP34" s="91"/>
      <c r="AMG34" s="93"/>
      <c r="AMH34" s="93"/>
      <c r="AMI34" s="93"/>
      <c r="AMJ34" s="93"/>
    </row>
    <row r="35" spans="1:1024" s="92" customFormat="1" ht="15" customHeight="1" x14ac:dyDescent="0.15">
      <c r="A35" s="74"/>
      <c r="B35" s="75">
        <v>30</v>
      </c>
      <c r="C35" s="76" t="s">
        <v>223</v>
      </c>
      <c r="D35" s="77" t="s">
        <v>75</v>
      </c>
      <c r="E35" s="77" t="s">
        <v>76</v>
      </c>
      <c r="F35" s="77" t="s">
        <v>224</v>
      </c>
      <c r="G35" s="77" t="s">
        <v>216</v>
      </c>
      <c r="H35" s="77" t="s">
        <v>174</v>
      </c>
      <c r="I35" s="77" t="s">
        <v>225</v>
      </c>
      <c r="J35" s="77" t="s">
        <v>137</v>
      </c>
      <c r="K35" s="78">
        <v>44236</v>
      </c>
      <c r="L35" s="79" t="s">
        <v>125</v>
      </c>
      <c r="M35" s="77" t="s">
        <v>63</v>
      </c>
      <c r="N35" s="80">
        <v>41740.050000000003</v>
      </c>
      <c r="O35" s="77">
        <v>13</v>
      </c>
      <c r="P35" s="77">
        <v>0</v>
      </c>
      <c r="Q35" s="77" t="s">
        <v>82</v>
      </c>
      <c r="R35" s="77" t="s">
        <v>83</v>
      </c>
      <c r="S35" s="77" t="s">
        <v>82</v>
      </c>
      <c r="T35" s="77" t="s">
        <v>83</v>
      </c>
      <c r="U35" s="81">
        <v>44230</v>
      </c>
      <c r="V35" s="82">
        <v>0.41666666666666713</v>
      </c>
      <c r="W35" s="77" t="s">
        <v>82</v>
      </c>
      <c r="X35" s="77" t="s">
        <v>83</v>
      </c>
      <c r="Y35" s="77" t="s">
        <v>58</v>
      </c>
      <c r="Z35" s="77" t="s">
        <v>82</v>
      </c>
      <c r="AA35" s="83">
        <v>44232</v>
      </c>
      <c r="AB35" s="77">
        <f t="shared" ca="1" si="2"/>
        <v>2</v>
      </c>
      <c r="AC35" s="84">
        <v>13</v>
      </c>
      <c r="AD35" s="84">
        <v>0</v>
      </c>
      <c r="AE35" s="85">
        <v>0</v>
      </c>
      <c r="AF35" s="84"/>
      <c r="AG35" s="84">
        <v>0</v>
      </c>
      <c r="AH35" s="85">
        <v>0</v>
      </c>
      <c r="AI35" s="85">
        <v>20294</v>
      </c>
      <c r="AJ35" s="86">
        <f>IF(OR(Processos!$H35="Alienação",Processos!$H35="Concessão"),"",(N35-AI35)-(AE35+AH35))</f>
        <v>21446.050000000003</v>
      </c>
      <c r="AK35" s="87">
        <f t="shared" si="0"/>
        <v>0.51380029492058599</v>
      </c>
      <c r="AL35" s="79" t="s">
        <v>86</v>
      </c>
      <c r="AM35" s="88">
        <v>44173</v>
      </c>
      <c r="AN35" s="89">
        <v>44209</v>
      </c>
      <c r="AO35" s="90">
        <f>IF(Tabela1[[#This Row],[Data de aprovação]]="","",Tabela1[[#This Row],[Data de aprovação]]-Tabela1[[#This Row],[Data de abertura]])</f>
        <v>36</v>
      </c>
      <c r="AP35" s="91"/>
      <c r="AMG35" s="93"/>
      <c r="AMH35" s="93"/>
      <c r="AMI35" s="93"/>
      <c r="AMJ35" s="93"/>
    </row>
    <row r="36" spans="1:1024" s="92" customFormat="1" ht="15" customHeight="1" x14ac:dyDescent="0.15">
      <c r="A36" s="74"/>
      <c r="B36" s="75">
        <v>31</v>
      </c>
      <c r="C36" s="76" t="s">
        <v>226</v>
      </c>
      <c r="D36" s="77" t="s">
        <v>75</v>
      </c>
      <c r="E36" s="77" t="s">
        <v>76</v>
      </c>
      <c r="F36" s="77" t="s">
        <v>227</v>
      </c>
      <c r="G36" s="77" t="s">
        <v>220</v>
      </c>
      <c r="H36" s="77" t="s">
        <v>174</v>
      </c>
      <c r="I36" s="77" t="s">
        <v>228</v>
      </c>
      <c r="J36" s="77" t="s">
        <v>229</v>
      </c>
      <c r="K36" s="78">
        <v>44236</v>
      </c>
      <c r="L36" s="79" t="s">
        <v>125</v>
      </c>
      <c r="M36" s="77" t="s">
        <v>105</v>
      </c>
      <c r="N36" s="80">
        <v>41025.33</v>
      </c>
      <c r="O36" s="77">
        <v>25</v>
      </c>
      <c r="P36" s="77">
        <v>0</v>
      </c>
      <c r="Q36" s="77" t="s">
        <v>82</v>
      </c>
      <c r="R36" s="77" t="s">
        <v>83</v>
      </c>
      <c r="S36" s="77" t="s">
        <v>82</v>
      </c>
      <c r="T36" s="77" t="s">
        <v>83</v>
      </c>
      <c r="U36" s="81">
        <v>44228</v>
      </c>
      <c r="V36" s="82">
        <v>0.35416666666666702</v>
      </c>
      <c r="W36" s="77" t="s">
        <v>82</v>
      </c>
      <c r="X36" s="77" t="s">
        <v>83</v>
      </c>
      <c r="Y36" s="77" t="s">
        <v>58</v>
      </c>
      <c r="Z36" s="77" t="s">
        <v>82</v>
      </c>
      <c r="AA36" s="83">
        <v>44232</v>
      </c>
      <c r="AB36" s="77">
        <f t="shared" ca="1" si="2"/>
        <v>4</v>
      </c>
      <c r="AC36" s="84">
        <v>18</v>
      </c>
      <c r="AD36" s="84">
        <v>3</v>
      </c>
      <c r="AE36" s="85">
        <v>4936.8599999999997</v>
      </c>
      <c r="AF36" s="84" t="s">
        <v>230</v>
      </c>
      <c r="AG36" s="84">
        <v>4</v>
      </c>
      <c r="AH36" s="85">
        <v>6697.4</v>
      </c>
      <c r="AI36" s="85">
        <v>21779.695800000001</v>
      </c>
      <c r="AJ36" s="86">
        <f>IF(OR(Processos!$H36="Alienação",Processos!$H36="Concessão"),"",(N36-AI36)-(AE36+AH36))</f>
        <v>7611.374200000002</v>
      </c>
      <c r="AK36" s="87">
        <f t="shared" si="0"/>
        <v>0.18552865266409804</v>
      </c>
      <c r="AL36" s="79" t="s">
        <v>86</v>
      </c>
      <c r="AM36" s="88">
        <v>44055</v>
      </c>
      <c r="AN36" s="89">
        <v>44209</v>
      </c>
      <c r="AO36" s="90">
        <f>IF(Tabela1[[#This Row],[Data de aprovação]]="","",Tabela1[[#This Row],[Data de aprovação]]-Tabela1[[#This Row],[Data de abertura]])</f>
        <v>154</v>
      </c>
      <c r="AP36" s="91"/>
      <c r="AMG36" s="93"/>
      <c r="AMH36" s="93"/>
      <c r="AMI36" s="93"/>
      <c r="AMJ36" s="93"/>
    </row>
    <row r="37" spans="1:1024" s="92" customFormat="1" ht="15" customHeight="1" x14ac:dyDescent="0.15">
      <c r="A37" s="74"/>
      <c r="B37" s="75">
        <v>32</v>
      </c>
      <c r="C37" s="76" t="s">
        <v>231</v>
      </c>
      <c r="D37" s="77" t="s">
        <v>75</v>
      </c>
      <c r="E37" s="77" t="s">
        <v>76</v>
      </c>
      <c r="F37" s="77" t="s">
        <v>232</v>
      </c>
      <c r="G37" s="77" t="s">
        <v>224</v>
      </c>
      <c r="H37" s="77" t="s">
        <v>122</v>
      </c>
      <c r="I37" s="77" t="s">
        <v>233</v>
      </c>
      <c r="J37" s="77" t="s">
        <v>124</v>
      </c>
      <c r="K37" s="78">
        <v>44294</v>
      </c>
      <c r="L37" s="79" t="s">
        <v>125</v>
      </c>
      <c r="M37" s="77" t="s">
        <v>96</v>
      </c>
      <c r="N37" s="80">
        <v>784551.68999999983</v>
      </c>
      <c r="O37" s="77">
        <v>38</v>
      </c>
      <c r="P37" s="77">
        <v>0</v>
      </c>
      <c r="Q37" s="77" t="s">
        <v>82</v>
      </c>
      <c r="R37" s="77" t="s">
        <v>83</v>
      </c>
      <c r="S37" s="77" t="s">
        <v>82</v>
      </c>
      <c r="T37" s="77" t="s">
        <v>83</v>
      </c>
      <c r="U37" s="81">
        <v>44228</v>
      </c>
      <c r="V37" s="82">
        <v>0.60416666666666696</v>
      </c>
      <c r="W37" s="77" t="s">
        <v>84</v>
      </c>
      <c r="X37" s="77" t="s">
        <v>84</v>
      </c>
      <c r="Y37" s="77" t="s">
        <v>127</v>
      </c>
      <c r="Z37" s="77" t="s">
        <v>84</v>
      </c>
      <c r="AA37" s="83">
        <v>44245</v>
      </c>
      <c r="AB37" s="77">
        <f t="shared" ca="1" si="2"/>
        <v>17</v>
      </c>
      <c r="AC37" s="84">
        <v>28</v>
      </c>
      <c r="AD37" s="84">
        <v>10</v>
      </c>
      <c r="AE37" s="85">
        <v>106540.6156</v>
      </c>
      <c r="AF37" s="84" t="s">
        <v>127</v>
      </c>
      <c r="AG37" s="84">
        <v>0</v>
      </c>
      <c r="AH37" s="85">
        <v>0</v>
      </c>
      <c r="AI37" s="85">
        <v>418719.587</v>
      </c>
      <c r="AJ37" s="86">
        <f>IF(OR(Processos!$H37="Alienação",Processos!$H37="Concessão"),"",(N37-AI37)-(AE37+AH37))</f>
        <v>259291.48739999981</v>
      </c>
      <c r="AK37" s="87">
        <f t="shared" si="0"/>
        <v>0.33049637226579665</v>
      </c>
      <c r="AL37" s="79" t="s">
        <v>86</v>
      </c>
      <c r="AM37" s="88">
        <v>44055</v>
      </c>
      <c r="AN37" s="89">
        <v>44209</v>
      </c>
      <c r="AO37" s="90">
        <f>IF(Tabela1[[#This Row],[Data de aprovação]]="","",Tabela1[[#This Row],[Data de aprovação]]-Tabela1[[#This Row],[Data de abertura]])</f>
        <v>154</v>
      </c>
      <c r="AP37" s="91"/>
      <c r="AMG37" s="93"/>
      <c r="AMH37" s="93"/>
      <c r="AMI37" s="93"/>
      <c r="AMJ37" s="93"/>
    </row>
    <row r="38" spans="1:1024" s="92" customFormat="1" ht="15" customHeight="1" x14ac:dyDescent="0.15">
      <c r="A38" s="74"/>
      <c r="B38" s="75">
        <v>33</v>
      </c>
      <c r="C38" s="76" t="s">
        <v>234</v>
      </c>
      <c r="D38" s="77" t="s">
        <v>75</v>
      </c>
      <c r="E38" s="77" t="s">
        <v>76</v>
      </c>
      <c r="F38" s="77" t="s">
        <v>235</v>
      </c>
      <c r="G38" s="77" t="s">
        <v>227</v>
      </c>
      <c r="H38" s="77" t="s">
        <v>174</v>
      </c>
      <c r="I38" s="77" t="s">
        <v>236</v>
      </c>
      <c r="J38" s="77" t="s">
        <v>124</v>
      </c>
      <c r="K38" s="78">
        <v>44214</v>
      </c>
      <c r="L38" s="79" t="s">
        <v>222</v>
      </c>
      <c r="M38" s="77" t="s">
        <v>206</v>
      </c>
      <c r="N38" s="80">
        <v>334304</v>
      </c>
      <c r="O38" s="77">
        <v>93</v>
      </c>
      <c r="P38" s="77">
        <v>0</v>
      </c>
      <c r="Q38" s="77" t="s">
        <v>82</v>
      </c>
      <c r="R38" s="77" t="s">
        <v>83</v>
      </c>
      <c r="S38" s="77" t="s">
        <v>82</v>
      </c>
      <c r="T38" s="77" t="s">
        <v>82</v>
      </c>
      <c r="U38" s="81">
        <v>44236</v>
      </c>
      <c r="V38" s="82">
        <v>0.375</v>
      </c>
      <c r="W38" s="77" t="s">
        <v>84</v>
      </c>
      <c r="X38" s="77" t="s">
        <v>84</v>
      </c>
      <c r="Y38" s="77" t="s">
        <v>237</v>
      </c>
      <c r="Z38" s="77" t="s">
        <v>84</v>
      </c>
      <c r="AA38" s="83"/>
      <c r="AB38" s="77">
        <f t="shared" ca="1" si="2"/>
        <v>216</v>
      </c>
      <c r="AC38" s="84">
        <v>65</v>
      </c>
      <c r="AD38" s="84"/>
      <c r="AE38" s="85"/>
      <c r="AF38" s="84"/>
      <c r="AG38" s="84">
        <v>28</v>
      </c>
      <c r="AH38" s="85">
        <v>13024.6</v>
      </c>
      <c r="AI38" s="85">
        <v>92090.76</v>
      </c>
      <c r="AJ38" s="86">
        <f>IF(OR(Processos!$H38="Alienação",Processos!$H38="Concessão"),"",(N38-AI38)-(AE38+AH38))</f>
        <v>229188.63999999998</v>
      </c>
      <c r="AK38" s="87">
        <f t="shared" si="0"/>
        <v>0.68556954149516613</v>
      </c>
      <c r="AL38" s="79"/>
      <c r="AM38" s="88">
        <v>44102</v>
      </c>
      <c r="AN38" s="89">
        <v>44209</v>
      </c>
      <c r="AO38" s="90">
        <f>IF(Tabela1[[#This Row],[Data de aprovação]]="","",Tabela1[[#This Row],[Data de aprovação]]-Tabela1[[#This Row],[Data de abertura]])</f>
        <v>107</v>
      </c>
      <c r="AP38" s="91"/>
      <c r="AMG38" s="93"/>
      <c r="AMH38" s="93"/>
      <c r="AMI38" s="93"/>
      <c r="AMJ38" s="93"/>
    </row>
    <row r="39" spans="1:1024" s="92" customFormat="1" ht="10.5" x14ac:dyDescent="0.15">
      <c r="A39" s="74"/>
      <c r="B39" s="75">
        <v>34</v>
      </c>
      <c r="C39" s="76" t="s">
        <v>238</v>
      </c>
      <c r="D39" s="77" t="s">
        <v>75</v>
      </c>
      <c r="E39" s="77" t="s">
        <v>76</v>
      </c>
      <c r="F39" s="77" t="s">
        <v>239</v>
      </c>
      <c r="G39" s="77" t="s">
        <v>232</v>
      </c>
      <c r="H39" s="77" t="s">
        <v>174</v>
      </c>
      <c r="I39" s="77" t="s">
        <v>240</v>
      </c>
      <c r="J39" s="77" t="s">
        <v>241</v>
      </c>
      <c r="K39" s="78">
        <v>44253</v>
      </c>
      <c r="L39" s="79" t="s">
        <v>125</v>
      </c>
      <c r="M39" s="77" t="s">
        <v>110</v>
      </c>
      <c r="N39" s="80">
        <v>159275</v>
      </c>
      <c r="O39" s="77">
        <v>2</v>
      </c>
      <c r="P39" s="77">
        <v>1</v>
      </c>
      <c r="Q39" s="77" t="s">
        <v>82</v>
      </c>
      <c r="R39" s="77" t="s">
        <v>83</v>
      </c>
      <c r="S39" s="77" t="s">
        <v>82</v>
      </c>
      <c r="T39" s="77" t="s">
        <v>83</v>
      </c>
      <c r="U39" s="81">
        <v>44237</v>
      </c>
      <c r="V39" s="82">
        <v>0.58333333333333293</v>
      </c>
      <c r="W39" s="77" t="s">
        <v>82</v>
      </c>
      <c r="X39" s="77" t="s">
        <v>83</v>
      </c>
      <c r="Y39" s="77" t="s">
        <v>58</v>
      </c>
      <c r="Z39" s="77" t="s">
        <v>84</v>
      </c>
      <c r="AA39" s="83">
        <v>44251</v>
      </c>
      <c r="AB39" s="77">
        <f t="shared" ca="1" si="2"/>
        <v>14</v>
      </c>
      <c r="AC39" s="84">
        <v>2</v>
      </c>
      <c r="AD39" s="84">
        <v>0</v>
      </c>
      <c r="AE39" s="85">
        <v>0</v>
      </c>
      <c r="AF39" s="84" t="s">
        <v>58</v>
      </c>
      <c r="AG39" s="84">
        <v>0</v>
      </c>
      <c r="AH39" s="85">
        <v>0</v>
      </c>
      <c r="AI39" s="85">
        <v>123500</v>
      </c>
      <c r="AJ39" s="86">
        <f>IF(OR(Processos!$H39="Alienação",Processos!$H39="Concessão"),"",(N39-AI39)-(AE39+AH39))</f>
        <v>35775</v>
      </c>
      <c r="AK39" s="87">
        <f t="shared" si="0"/>
        <v>0.2246115209543243</v>
      </c>
      <c r="AL39" s="79" t="s">
        <v>86</v>
      </c>
      <c r="AM39" s="88">
        <v>44138</v>
      </c>
      <c r="AN39" s="89">
        <v>44217</v>
      </c>
      <c r="AO39" s="90">
        <f>IF(Tabela1[[#This Row],[Data de aprovação]]="","",Tabela1[[#This Row],[Data de aprovação]]-Tabela1[[#This Row],[Data de abertura]])</f>
        <v>79</v>
      </c>
      <c r="AP39" s="91"/>
      <c r="AMG39" s="93"/>
      <c r="AMH39" s="93"/>
      <c r="AMI39" s="93"/>
      <c r="AMJ39" s="93"/>
    </row>
    <row r="40" spans="1:1024" s="92" customFormat="1" ht="15" customHeight="1" x14ac:dyDescent="0.15">
      <c r="A40" s="74"/>
      <c r="B40" s="75">
        <v>35</v>
      </c>
      <c r="C40" s="76" t="s">
        <v>242</v>
      </c>
      <c r="D40" s="77" t="s">
        <v>75</v>
      </c>
      <c r="E40" s="77" t="s">
        <v>76</v>
      </c>
      <c r="F40" s="77" t="s">
        <v>243</v>
      </c>
      <c r="G40" s="77" t="s">
        <v>235</v>
      </c>
      <c r="H40" s="77" t="s">
        <v>174</v>
      </c>
      <c r="I40" s="77" t="s">
        <v>244</v>
      </c>
      <c r="J40" s="77" t="s">
        <v>245</v>
      </c>
      <c r="K40" s="78">
        <v>44256</v>
      </c>
      <c r="L40" s="79" t="s">
        <v>125</v>
      </c>
      <c r="M40" s="77" t="s">
        <v>96</v>
      </c>
      <c r="N40" s="80">
        <v>5246892</v>
      </c>
      <c r="O40" s="77">
        <v>38</v>
      </c>
      <c r="P40" s="77">
        <v>0</v>
      </c>
      <c r="Q40" s="77" t="s">
        <v>82</v>
      </c>
      <c r="R40" s="77" t="s">
        <v>83</v>
      </c>
      <c r="S40" s="77" t="s">
        <v>82</v>
      </c>
      <c r="T40" s="77" t="s">
        <v>83</v>
      </c>
      <c r="U40" s="81">
        <v>44230</v>
      </c>
      <c r="V40" s="82">
        <v>0.60416666666666696</v>
      </c>
      <c r="W40" s="77" t="s">
        <v>84</v>
      </c>
      <c r="X40" s="77" t="s">
        <v>82</v>
      </c>
      <c r="Y40" s="77" t="s">
        <v>126</v>
      </c>
      <c r="Z40" s="77" t="s">
        <v>82</v>
      </c>
      <c r="AA40" s="83">
        <v>44236</v>
      </c>
      <c r="AB40" s="77">
        <f t="shared" ca="1" si="2"/>
        <v>6</v>
      </c>
      <c r="AC40" s="84">
        <v>38</v>
      </c>
      <c r="AD40" s="84">
        <v>0</v>
      </c>
      <c r="AE40" s="85">
        <v>0</v>
      </c>
      <c r="AF40" s="84" t="s">
        <v>58</v>
      </c>
      <c r="AG40" s="84">
        <v>0</v>
      </c>
      <c r="AH40" s="85">
        <v>0</v>
      </c>
      <c r="AI40" s="85">
        <v>3596797</v>
      </c>
      <c r="AJ40" s="86">
        <f>IF(OR(Processos!$H40="Alienação",Processos!$H40="Concessão"),"",(N40-AI40)-(AE40+AH40))</f>
        <v>1650095</v>
      </c>
      <c r="AK40" s="87">
        <f t="shared" si="0"/>
        <v>0.31448998759646662</v>
      </c>
      <c r="AL40" s="79" t="s">
        <v>86</v>
      </c>
      <c r="AM40" s="88">
        <v>44158</v>
      </c>
      <c r="AN40" s="89">
        <v>44209</v>
      </c>
      <c r="AO40" s="90">
        <f>IF(Tabela1[[#This Row],[Data de aprovação]]="","",Tabela1[[#This Row],[Data de aprovação]]-Tabela1[[#This Row],[Data de abertura]])</f>
        <v>51</v>
      </c>
      <c r="AP40" s="91"/>
      <c r="AMG40" s="93"/>
      <c r="AMH40" s="93"/>
      <c r="AMI40" s="93"/>
      <c r="AMJ40" s="93"/>
    </row>
    <row r="41" spans="1:1024" s="92" customFormat="1" ht="15" customHeight="1" x14ac:dyDescent="0.15">
      <c r="A41" s="74"/>
      <c r="B41" s="75">
        <v>36</v>
      </c>
      <c r="C41" s="76" t="s">
        <v>246</v>
      </c>
      <c r="D41" s="77" t="s">
        <v>75</v>
      </c>
      <c r="E41" s="77" t="s">
        <v>76</v>
      </c>
      <c r="F41" s="77" t="s">
        <v>247</v>
      </c>
      <c r="G41" s="77" t="s">
        <v>239</v>
      </c>
      <c r="H41" s="77" t="s">
        <v>174</v>
      </c>
      <c r="I41" s="77" t="s">
        <v>248</v>
      </c>
      <c r="J41" s="77" t="s">
        <v>245</v>
      </c>
      <c r="K41" s="78">
        <v>44272</v>
      </c>
      <c r="L41" s="79" t="s">
        <v>125</v>
      </c>
      <c r="M41" s="77" t="s">
        <v>73</v>
      </c>
      <c r="N41" s="80">
        <v>13146809</v>
      </c>
      <c r="O41" s="77">
        <v>26</v>
      </c>
      <c r="P41" s="77">
        <v>0</v>
      </c>
      <c r="Q41" s="77" t="s">
        <v>82</v>
      </c>
      <c r="R41" s="77" t="s">
        <v>83</v>
      </c>
      <c r="S41" s="77" t="s">
        <v>82</v>
      </c>
      <c r="T41" s="77" t="s">
        <v>83</v>
      </c>
      <c r="U41" s="81">
        <v>44235</v>
      </c>
      <c r="V41" s="82">
        <v>0.375</v>
      </c>
      <c r="W41" s="77" t="s">
        <v>84</v>
      </c>
      <c r="X41" s="77" t="s">
        <v>82</v>
      </c>
      <c r="Y41" s="77" t="s">
        <v>249</v>
      </c>
      <c r="Z41" s="77" t="s">
        <v>82</v>
      </c>
      <c r="AA41" s="83">
        <v>44257</v>
      </c>
      <c r="AB41" s="77">
        <f t="shared" ca="1" si="2"/>
        <v>22</v>
      </c>
      <c r="AC41" s="84">
        <v>7</v>
      </c>
      <c r="AD41" s="84">
        <v>19</v>
      </c>
      <c r="AE41" s="85">
        <v>9479929.4000000004</v>
      </c>
      <c r="AF41" s="84" t="s">
        <v>250</v>
      </c>
      <c r="AG41" s="84">
        <v>0</v>
      </c>
      <c r="AH41" s="85">
        <v>0</v>
      </c>
      <c r="AI41" s="85">
        <v>3092720</v>
      </c>
      <c r="AJ41" s="86">
        <f>IF(OR(Processos!$H41="Alienação",Processos!$H41="Concessão"),"",(N41-AI41)-(AE41+AH41))</f>
        <v>574159.59999999963</v>
      </c>
      <c r="AK41" s="87">
        <f t="shared" si="0"/>
        <v>4.3672924737858415E-2</v>
      </c>
      <c r="AL41" s="79" t="s">
        <v>86</v>
      </c>
      <c r="AM41" s="88">
        <v>44179</v>
      </c>
      <c r="AN41" s="89">
        <v>44216</v>
      </c>
      <c r="AO41" s="90">
        <f>IF(Tabela1[[#This Row],[Data de aprovação]]="","",Tabela1[[#This Row],[Data de aprovação]]-Tabela1[[#This Row],[Data de abertura]])</f>
        <v>37</v>
      </c>
      <c r="AP41" s="91"/>
      <c r="AMG41" s="93"/>
      <c r="AMH41" s="93"/>
      <c r="AMI41" s="93"/>
      <c r="AMJ41" s="93"/>
    </row>
    <row r="42" spans="1:1024" s="92" customFormat="1" ht="15" customHeight="1" x14ac:dyDescent="0.15">
      <c r="A42" s="74"/>
      <c r="B42" s="75">
        <v>37</v>
      </c>
      <c r="C42" s="76" t="s">
        <v>251</v>
      </c>
      <c r="D42" s="77" t="s">
        <v>75</v>
      </c>
      <c r="E42" s="77" t="s">
        <v>76</v>
      </c>
      <c r="F42" s="77" t="s">
        <v>252</v>
      </c>
      <c r="G42" s="77" t="s">
        <v>253</v>
      </c>
      <c r="H42" s="77" t="s">
        <v>174</v>
      </c>
      <c r="I42" s="77" t="s">
        <v>180</v>
      </c>
      <c r="J42" s="77" t="s">
        <v>254</v>
      </c>
      <c r="K42" s="78">
        <v>44328</v>
      </c>
      <c r="L42" s="79" t="s">
        <v>125</v>
      </c>
      <c r="M42" s="77" t="s">
        <v>105</v>
      </c>
      <c r="N42" s="80">
        <v>534299.81000000006</v>
      </c>
      <c r="O42" s="77">
        <v>79</v>
      </c>
      <c r="P42" s="77">
        <v>0</v>
      </c>
      <c r="Q42" s="77" t="s">
        <v>82</v>
      </c>
      <c r="R42" s="77" t="s">
        <v>83</v>
      </c>
      <c r="S42" s="77" t="s">
        <v>82</v>
      </c>
      <c r="T42" s="77" t="s">
        <v>83</v>
      </c>
      <c r="U42" s="81">
        <v>44320</v>
      </c>
      <c r="V42" s="82">
        <v>0.35416666666666702</v>
      </c>
      <c r="W42" s="77" t="s">
        <v>82</v>
      </c>
      <c r="X42" s="77" t="s">
        <v>83</v>
      </c>
      <c r="Y42" s="77"/>
      <c r="Z42" s="77"/>
      <c r="AA42" s="83">
        <v>44327</v>
      </c>
      <c r="AB42" s="77">
        <f t="shared" ca="1" si="2"/>
        <v>7</v>
      </c>
      <c r="AC42" s="84">
        <v>27</v>
      </c>
      <c r="AD42" s="84">
        <v>52</v>
      </c>
      <c r="AE42" s="85">
        <v>196187.5</v>
      </c>
      <c r="AF42" s="84" t="s">
        <v>255</v>
      </c>
      <c r="AG42" s="84">
        <v>0</v>
      </c>
      <c r="AH42" s="85">
        <v>0</v>
      </c>
      <c r="AI42" s="85">
        <v>272743.15000000002</v>
      </c>
      <c r="AJ42" s="86">
        <f>IF(OR(Processos!$H42="Alienação",Processos!$H42="Concessão"),"",(N42-AI42)-(AE42+AH42))</f>
        <v>65369.160000000033</v>
      </c>
      <c r="AK42" s="87">
        <f t="shared" si="0"/>
        <v>0.12234546742586344</v>
      </c>
      <c r="AL42" s="79" t="s">
        <v>86</v>
      </c>
      <c r="AM42" s="88">
        <v>44102</v>
      </c>
      <c r="AN42" s="89">
        <v>44298</v>
      </c>
      <c r="AO42" s="90">
        <f>IF(Tabela1[[#This Row],[Data de aprovação]]="","",Tabela1[[#This Row],[Data de aprovação]]-Tabela1[[#This Row],[Data de abertura]])</f>
        <v>196</v>
      </c>
      <c r="AP42" s="91"/>
      <c r="AMG42" s="93"/>
      <c r="AMH42" s="93"/>
      <c r="AMI42" s="93"/>
      <c r="AMJ42" s="93"/>
    </row>
    <row r="43" spans="1:1024" s="92" customFormat="1" ht="15" customHeight="1" x14ac:dyDescent="0.15">
      <c r="A43" s="74"/>
      <c r="B43" s="75">
        <v>38</v>
      </c>
      <c r="C43" s="76" t="s">
        <v>256</v>
      </c>
      <c r="D43" s="77" t="s">
        <v>75</v>
      </c>
      <c r="E43" s="77" t="s">
        <v>76</v>
      </c>
      <c r="F43" s="77" t="s">
        <v>257</v>
      </c>
      <c r="G43" s="77" t="s">
        <v>258</v>
      </c>
      <c r="H43" s="77" t="s">
        <v>174</v>
      </c>
      <c r="I43" s="77" t="s">
        <v>259</v>
      </c>
      <c r="J43" s="77" t="s">
        <v>260</v>
      </c>
      <c r="K43" s="78">
        <v>44256</v>
      </c>
      <c r="L43" s="79" t="s">
        <v>125</v>
      </c>
      <c r="M43" s="77" t="s">
        <v>73</v>
      </c>
      <c r="N43" s="80">
        <v>1987140.71</v>
      </c>
      <c r="O43" s="77">
        <v>41</v>
      </c>
      <c r="P43" s="77">
        <v>0</v>
      </c>
      <c r="Q43" s="77" t="s">
        <v>82</v>
      </c>
      <c r="R43" s="77" t="s">
        <v>83</v>
      </c>
      <c r="S43" s="77" t="s">
        <v>82</v>
      </c>
      <c r="T43" s="77" t="s">
        <v>83</v>
      </c>
      <c r="U43" s="81">
        <v>44249</v>
      </c>
      <c r="V43" s="82">
        <v>0.375</v>
      </c>
      <c r="W43" s="77" t="s">
        <v>82</v>
      </c>
      <c r="X43" s="77" t="s">
        <v>83</v>
      </c>
      <c r="Y43" s="77" t="s">
        <v>58</v>
      </c>
      <c r="Z43" s="77" t="s">
        <v>83</v>
      </c>
      <c r="AA43" s="83">
        <v>44253</v>
      </c>
      <c r="AB43" s="77">
        <f t="shared" ca="1" si="2"/>
        <v>4</v>
      </c>
      <c r="AC43" s="84">
        <v>38</v>
      </c>
      <c r="AD43" s="84">
        <v>3</v>
      </c>
      <c r="AE43" s="85">
        <v>240455</v>
      </c>
      <c r="AF43" s="84" t="s">
        <v>261</v>
      </c>
      <c r="AG43" s="84">
        <v>0</v>
      </c>
      <c r="AH43" s="85">
        <v>0</v>
      </c>
      <c r="AI43" s="85">
        <v>748959.34999999986</v>
      </c>
      <c r="AJ43" s="86">
        <f>IF(OR(Processos!$H43="Alienação",Processos!$H43="Concessão"),"",(N43-AI43)-(AE43+AH43))</f>
        <v>997726.3600000001</v>
      </c>
      <c r="AK43" s="87">
        <f t="shared" si="0"/>
        <v>0.50209144977961839</v>
      </c>
      <c r="AL43" s="79" t="s">
        <v>86</v>
      </c>
      <c r="AM43" s="88">
        <v>44112</v>
      </c>
      <c r="AN43" s="89">
        <v>44229</v>
      </c>
      <c r="AO43" s="90">
        <f>IF(Tabela1[[#This Row],[Data de aprovação]]="","",Tabela1[[#This Row],[Data de aprovação]]-Tabela1[[#This Row],[Data de abertura]])</f>
        <v>117</v>
      </c>
      <c r="AP43" s="91"/>
      <c r="AMG43" s="93"/>
      <c r="AMH43" s="93"/>
      <c r="AMI43" s="93"/>
      <c r="AMJ43" s="93"/>
    </row>
    <row r="44" spans="1:1024" s="92" customFormat="1" ht="15" customHeight="1" x14ac:dyDescent="0.15">
      <c r="A44" s="74"/>
      <c r="B44" s="75">
        <v>39</v>
      </c>
      <c r="C44" s="76" t="s">
        <v>262</v>
      </c>
      <c r="D44" s="77" t="s">
        <v>75</v>
      </c>
      <c r="E44" s="77" t="s">
        <v>76</v>
      </c>
      <c r="F44" s="77" t="s">
        <v>263</v>
      </c>
      <c r="G44" s="77" t="s">
        <v>243</v>
      </c>
      <c r="H44" s="77" t="s">
        <v>174</v>
      </c>
      <c r="I44" s="77" t="s">
        <v>264</v>
      </c>
      <c r="J44" s="77" t="s">
        <v>71</v>
      </c>
      <c r="K44" s="78">
        <v>44253</v>
      </c>
      <c r="L44" s="79" t="s">
        <v>125</v>
      </c>
      <c r="M44" s="77" t="s">
        <v>110</v>
      </c>
      <c r="N44" s="80">
        <v>1500000</v>
      </c>
      <c r="O44" s="77">
        <v>8</v>
      </c>
      <c r="P44" s="77">
        <v>0</v>
      </c>
      <c r="Q44" s="77" t="s">
        <v>84</v>
      </c>
      <c r="R44" s="77" t="s">
        <v>83</v>
      </c>
      <c r="S44" s="77" t="s">
        <v>82</v>
      </c>
      <c r="T44" s="77" t="s">
        <v>83</v>
      </c>
      <c r="U44" s="81">
        <v>44246</v>
      </c>
      <c r="V44" s="82">
        <v>0.375</v>
      </c>
      <c r="W44" s="77" t="s">
        <v>82</v>
      </c>
      <c r="X44" s="77" t="s">
        <v>83</v>
      </c>
      <c r="Y44" s="77" t="s">
        <v>58</v>
      </c>
      <c r="Z44" s="77" t="s">
        <v>82</v>
      </c>
      <c r="AA44" s="83">
        <v>44253</v>
      </c>
      <c r="AB44" s="77">
        <f t="shared" ca="1" si="2"/>
        <v>7</v>
      </c>
      <c r="AC44" s="84">
        <v>8</v>
      </c>
      <c r="AD44" s="84">
        <v>0</v>
      </c>
      <c r="AE44" s="85" t="s">
        <v>58</v>
      </c>
      <c r="AF44" s="84" t="s">
        <v>58</v>
      </c>
      <c r="AG44" s="84">
        <v>0</v>
      </c>
      <c r="AH44" s="85">
        <v>0</v>
      </c>
      <c r="AI44" s="85">
        <v>915300</v>
      </c>
      <c r="AJ44" s="86">
        <v>584700</v>
      </c>
      <c r="AK44" s="87">
        <v>0.38979999999999998</v>
      </c>
      <c r="AL44" s="79" t="s">
        <v>86</v>
      </c>
      <c r="AM44" s="88">
        <v>44154</v>
      </c>
      <c r="AN44" s="89">
        <v>44229</v>
      </c>
      <c r="AO44" s="90">
        <f>IF(Tabela1[[#This Row],[Data de aprovação]]="","",Tabela1[[#This Row],[Data de aprovação]]-Tabela1[[#This Row],[Data de abertura]])</f>
        <v>75</v>
      </c>
      <c r="AP44" s="91"/>
      <c r="AMG44" s="93"/>
      <c r="AMH44" s="93"/>
      <c r="AMI44" s="93"/>
      <c r="AMJ44" s="93"/>
    </row>
    <row r="45" spans="1:1024" s="92" customFormat="1" ht="15" customHeight="1" x14ac:dyDescent="0.15">
      <c r="A45" s="74"/>
      <c r="B45" s="75">
        <v>40</v>
      </c>
      <c r="C45" s="76" t="s">
        <v>167</v>
      </c>
      <c r="D45" s="77" t="s">
        <v>139</v>
      </c>
      <c r="E45" s="77" t="s">
        <v>156</v>
      </c>
      <c r="F45" s="77" t="s">
        <v>203</v>
      </c>
      <c r="G45" s="77" t="s">
        <v>58</v>
      </c>
      <c r="H45" s="77" t="s">
        <v>141</v>
      </c>
      <c r="I45" s="77" t="s">
        <v>169</v>
      </c>
      <c r="J45" s="77" t="s">
        <v>90</v>
      </c>
      <c r="K45" s="78">
        <v>44306</v>
      </c>
      <c r="L45" s="79" t="s">
        <v>159</v>
      </c>
      <c r="M45" s="77" t="s">
        <v>73</v>
      </c>
      <c r="N45" s="80">
        <v>620641.17000000004</v>
      </c>
      <c r="O45" s="77">
        <v>1</v>
      </c>
      <c r="P45" s="77">
        <v>0</v>
      </c>
      <c r="Q45" s="77" t="s">
        <v>82</v>
      </c>
      <c r="R45" s="77" t="s">
        <v>83</v>
      </c>
      <c r="S45" s="77" t="s">
        <v>82</v>
      </c>
      <c r="T45" s="77" t="s">
        <v>83</v>
      </c>
      <c r="U45" s="81">
        <v>44269</v>
      </c>
      <c r="V45" s="82">
        <v>0.375</v>
      </c>
      <c r="W45" s="77" t="s">
        <v>82</v>
      </c>
      <c r="X45" s="77" t="s">
        <v>83</v>
      </c>
      <c r="Y45" s="77" t="s">
        <v>58</v>
      </c>
      <c r="Z45" s="77" t="s">
        <v>83</v>
      </c>
      <c r="AA45" s="83">
        <v>44303</v>
      </c>
      <c r="AB45" s="77">
        <f t="shared" ca="1" si="2"/>
        <v>34</v>
      </c>
      <c r="AC45" s="84"/>
      <c r="AD45" s="84">
        <v>0</v>
      </c>
      <c r="AE45" s="85">
        <v>0</v>
      </c>
      <c r="AF45" s="84" t="s">
        <v>58</v>
      </c>
      <c r="AG45" s="84">
        <v>0</v>
      </c>
      <c r="AH45" s="85">
        <v>0</v>
      </c>
      <c r="AI45" s="85">
        <v>599916.72010000004</v>
      </c>
      <c r="AJ45" s="86">
        <f>IF(OR(Processos!$H45="Alienação",Processos!$H45="Concessão"),"",(N45-AI45)-(AE45+AH45))</f>
        <v>20724.449900000007</v>
      </c>
      <c r="AK45" s="87">
        <f t="shared" ref="AK45:AK58" si="3">IF(ISERROR((AJ45*100)/N45/100),"",(AJ45*100)/N45/100)</f>
        <v>3.3391999921629438E-2</v>
      </c>
      <c r="AL45" s="79" t="s">
        <v>86</v>
      </c>
      <c r="AM45" s="88">
        <v>44215</v>
      </c>
      <c r="AN45" s="89">
        <v>44246</v>
      </c>
      <c r="AO45" s="90">
        <f>IF(Tabela1[[#This Row],[Data de aprovação]]="","",Tabela1[[#This Row],[Data de aprovação]]-Tabela1[[#This Row],[Data de abertura]])</f>
        <v>31</v>
      </c>
      <c r="AP45" s="91"/>
      <c r="AMG45" s="93"/>
      <c r="AMH45" s="93"/>
      <c r="AMI45" s="93"/>
      <c r="AMJ45" s="93"/>
    </row>
    <row r="46" spans="1:1024" s="92" customFormat="1" ht="15" customHeight="1" x14ac:dyDescent="0.15">
      <c r="A46" s="74"/>
      <c r="B46" s="75">
        <v>41</v>
      </c>
      <c r="C46" s="76" t="s">
        <v>138</v>
      </c>
      <c r="D46" s="77" t="s">
        <v>139</v>
      </c>
      <c r="E46" s="77" t="s">
        <v>67</v>
      </c>
      <c r="F46" s="77" t="s">
        <v>208</v>
      </c>
      <c r="G46" s="77" t="s">
        <v>58</v>
      </c>
      <c r="H46" s="77" t="s">
        <v>141</v>
      </c>
      <c r="I46" s="77" t="s">
        <v>142</v>
      </c>
      <c r="J46" s="77" t="s">
        <v>114</v>
      </c>
      <c r="K46" s="78">
        <v>44280</v>
      </c>
      <c r="L46" s="79" t="s">
        <v>159</v>
      </c>
      <c r="M46" s="77" t="s">
        <v>110</v>
      </c>
      <c r="N46" s="80">
        <v>295219.86</v>
      </c>
      <c r="O46" s="77">
        <v>1</v>
      </c>
      <c r="P46" s="77">
        <v>0</v>
      </c>
      <c r="Q46" s="77" t="s">
        <v>82</v>
      </c>
      <c r="R46" s="77" t="s">
        <v>83</v>
      </c>
      <c r="S46" s="77" t="s">
        <v>82</v>
      </c>
      <c r="T46" s="77" t="s">
        <v>83</v>
      </c>
      <c r="U46" s="81">
        <v>44273</v>
      </c>
      <c r="V46" s="82">
        <v>0.375</v>
      </c>
      <c r="W46" s="77" t="s">
        <v>82</v>
      </c>
      <c r="X46" s="77" t="s">
        <v>83</v>
      </c>
      <c r="Y46" s="77" t="s">
        <v>58</v>
      </c>
      <c r="Z46" s="77" t="s">
        <v>82</v>
      </c>
      <c r="AA46" s="83">
        <v>44279</v>
      </c>
      <c r="AB46" s="77">
        <f t="shared" ca="1" si="2"/>
        <v>6</v>
      </c>
      <c r="AC46" s="84">
        <v>1</v>
      </c>
      <c r="AD46" s="84">
        <v>0</v>
      </c>
      <c r="AE46" s="85">
        <v>0</v>
      </c>
      <c r="AF46" s="84" t="s">
        <v>58</v>
      </c>
      <c r="AG46" s="84">
        <v>0</v>
      </c>
      <c r="AH46" s="85">
        <v>0</v>
      </c>
      <c r="AI46" s="85">
        <v>276591.48680000001</v>
      </c>
      <c r="AJ46" s="86">
        <f>IF(OR(Processos!$H46="Alienação",Processos!$H46="Concessão"),"",(N46-AI46)-(AE46+AH46))</f>
        <v>18628.373199999973</v>
      </c>
      <c r="AK46" s="87">
        <f t="shared" si="3"/>
        <v>6.3100000115168309E-2</v>
      </c>
      <c r="AL46" s="79" t="s">
        <v>86</v>
      </c>
      <c r="AM46" s="88">
        <v>44222</v>
      </c>
      <c r="AN46" s="89">
        <v>44246</v>
      </c>
      <c r="AO46" s="90">
        <f>IF(Tabela1[[#This Row],[Data de aprovação]]="","",Tabela1[[#This Row],[Data de aprovação]]-Tabela1[[#This Row],[Data de abertura]])</f>
        <v>24</v>
      </c>
      <c r="AP46" s="91"/>
      <c r="AMG46" s="93"/>
      <c r="AMH46" s="93"/>
      <c r="AMI46" s="93"/>
      <c r="AMJ46" s="93"/>
    </row>
    <row r="47" spans="1:1024" s="92" customFormat="1" ht="15" customHeight="1" x14ac:dyDescent="0.15">
      <c r="A47" s="74"/>
      <c r="B47" s="75">
        <v>42</v>
      </c>
      <c r="C47" s="76" t="s">
        <v>161</v>
      </c>
      <c r="D47" s="77" t="s">
        <v>139</v>
      </c>
      <c r="E47" s="77" t="s">
        <v>156</v>
      </c>
      <c r="F47" s="77" t="s">
        <v>213</v>
      </c>
      <c r="G47" s="77" t="s">
        <v>58</v>
      </c>
      <c r="H47" s="77" t="s">
        <v>141</v>
      </c>
      <c r="I47" s="77" t="s">
        <v>163</v>
      </c>
      <c r="J47" s="77" t="s">
        <v>164</v>
      </c>
      <c r="K47" s="78">
        <v>44295</v>
      </c>
      <c r="L47" s="79" t="s">
        <v>159</v>
      </c>
      <c r="M47" s="77" t="s">
        <v>73</v>
      </c>
      <c r="N47" s="80">
        <v>574378.51</v>
      </c>
      <c r="O47" s="77">
        <v>1</v>
      </c>
      <c r="P47" s="77">
        <v>0</v>
      </c>
      <c r="Q47" s="77" t="s">
        <v>82</v>
      </c>
      <c r="R47" s="77" t="s">
        <v>83</v>
      </c>
      <c r="S47" s="77" t="s">
        <v>82</v>
      </c>
      <c r="T47" s="77" t="s">
        <v>83</v>
      </c>
      <c r="U47" s="81">
        <v>44281</v>
      </c>
      <c r="V47" s="82">
        <v>0.375</v>
      </c>
      <c r="W47" s="77" t="s">
        <v>82</v>
      </c>
      <c r="X47" s="77" t="s">
        <v>83</v>
      </c>
      <c r="Y47" s="77" t="s">
        <v>58</v>
      </c>
      <c r="Z47" s="77" t="s">
        <v>83</v>
      </c>
      <c r="AA47" s="83">
        <v>44294</v>
      </c>
      <c r="AB47" s="77">
        <f t="shared" ca="1" si="2"/>
        <v>13</v>
      </c>
      <c r="AC47" s="84">
        <v>1</v>
      </c>
      <c r="AD47" s="84">
        <v>0</v>
      </c>
      <c r="AE47" s="85">
        <v>0</v>
      </c>
      <c r="AF47" s="84" t="s">
        <v>58</v>
      </c>
      <c r="AG47" s="84">
        <v>0</v>
      </c>
      <c r="AH47" s="85">
        <v>0</v>
      </c>
      <c r="AI47" s="85">
        <v>487015.53860000003</v>
      </c>
      <c r="AJ47" s="86">
        <f>IF(OR(Processos!$H47="Alienação",Processos!$H47="Concessão"),"",(N47-AI47)-(AE47+AH47))</f>
        <v>87362.97139999998</v>
      </c>
      <c r="AK47" s="87">
        <f t="shared" si="3"/>
        <v>0.15210000005048932</v>
      </c>
      <c r="AL47" s="79" t="s">
        <v>86</v>
      </c>
      <c r="AM47" s="88">
        <v>44228</v>
      </c>
      <c r="AN47" s="89">
        <v>44246</v>
      </c>
      <c r="AO47" s="90">
        <f>IF(Tabela1[[#This Row],[Data de aprovação]]="","",Tabela1[[#This Row],[Data de aprovação]]-Tabela1[[#This Row],[Data de abertura]])</f>
        <v>18</v>
      </c>
      <c r="AP47" s="91"/>
      <c r="AMG47" s="93"/>
      <c r="AMH47" s="93"/>
      <c r="AMI47" s="93"/>
      <c r="AMJ47" s="93"/>
    </row>
    <row r="48" spans="1:1024" s="92" customFormat="1" ht="15" customHeight="1" x14ac:dyDescent="0.15">
      <c r="A48" s="74"/>
      <c r="B48" s="75">
        <v>43</v>
      </c>
      <c r="C48" s="76" t="s">
        <v>265</v>
      </c>
      <c r="D48" s="77" t="s">
        <v>75</v>
      </c>
      <c r="E48" s="77" t="s">
        <v>76</v>
      </c>
      <c r="F48" s="77" t="s">
        <v>266</v>
      </c>
      <c r="G48" s="77" t="s">
        <v>267</v>
      </c>
      <c r="H48" s="77" t="s">
        <v>59</v>
      </c>
      <c r="I48" s="77" t="s">
        <v>268</v>
      </c>
      <c r="J48" s="77" t="s">
        <v>61</v>
      </c>
      <c r="K48" s="78">
        <v>44433</v>
      </c>
      <c r="L48" s="79" t="s">
        <v>81</v>
      </c>
      <c r="M48" s="77" t="s">
        <v>63</v>
      </c>
      <c r="N48" s="80">
        <v>169406.7</v>
      </c>
      <c r="O48" s="77">
        <v>1</v>
      </c>
      <c r="P48" s="77">
        <v>0</v>
      </c>
      <c r="Q48" s="77" t="s">
        <v>82</v>
      </c>
      <c r="R48" s="77" t="s">
        <v>83</v>
      </c>
      <c r="S48" s="77" t="s">
        <v>82</v>
      </c>
      <c r="T48" s="77" t="s">
        <v>83</v>
      </c>
      <c r="U48" s="81">
        <v>44426</v>
      </c>
      <c r="V48" s="82">
        <v>0.41666666666666713</v>
      </c>
      <c r="W48" s="77" t="s">
        <v>82</v>
      </c>
      <c r="X48" s="77" t="s">
        <v>83</v>
      </c>
      <c r="Y48" s="77" t="s">
        <v>58</v>
      </c>
      <c r="Z48" s="77" t="s">
        <v>82</v>
      </c>
      <c r="AA48" s="83">
        <v>44432</v>
      </c>
      <c r="AB48" s="77">
        <f t="shared" ca="1" si="2"/>
        <v>6</v>
      </c>
      <c r="AC48" s="84">
        <v>1</v>
      </c>
      <c r="AD48" s="84">
        <v>0</v>
      </c>
      <c r="AE48" s="85">
        <v>0</v>
      </c>
      <c r="AF48" s="84" t="s">
        <v>58</v>
      </c>
      <c r="AG48" s="84">
        <v>0</v>
      </c>
      <c r="AH48" s="85">
        <v>0</v>
      </c>
      <c r="AI48" s="85">
        <v>120000</v>
      </c>
      <c r="AJ48" s="86">
        <f>IF(OR(Processos!$H48="Alienação",Processos!$H48="Concessão"),"",(N48-AI48)-(AE48+AH48))</f>
        <v>49406.700000000012</v>
      </c>
      <c r="AK48" s="87">
        <f t="shared" si="3"/>
        <v>0.29164548981828942</v>
      </c>
      <c r="AL48" s="79" t="s">
        <v>86</v>
      </c>
      <c r="AM48" s="88">
        <v>44230</v>
      </c>
      <c r="AN48" s="89">
        <v>44405</v>
      </c>
      <c r="AO48" s="90">
        <f>IF(Tabela1[[#This Row],[Data de aprovação]]="","",Tabela1[[#This Row],[Data de aprovação]]-Tabela1[[#This Row],[Data de abertura]])</f>
        <v>175</v>
      </c>
      <c r="AP48" s="91"/>
      <c r="AMG48" s="93"/>
      <c r="AMH48" s="93"/>
      <c r="AMI48" s="93"/>
      <c r="AMJ48" s="93"/>
    </row>
    <row r="49" spans="1:1024" s="92" customFormat="1" ht="15" customHeight="1" x14ac:dyDescent="0.15">
      <c r="A49" s="74"/>
      <c r="B49" s="75">
        <v>44</v>
      </c>
      <c r="C49" s="76" t="s">
        <v>269</v>
      </c>
      <c r="D49" s="77" t="s">
        <v>66</v>
      </c>
      <c r="E49" s="77" t="s">
        <v>67</v>
      </c>
      <c r="F49" s="77" t="s">
        <v>270</v>
      </c>
      <c r="G49" s="77" t="s">
        <v>58</v>
      </c>
      <c r="H49" s="77" t="s">
        <v>69</v>
      </c>
      <c r="I49" s="77" t="s">
        <v>271</v>
      </c>
      <c r="J49" s="77" t="s">
        <v>272</v>
      </c>
      <c r="K49" s="78">
        <v>44263</v>
      </c>
      <c r="L49" s="79" t="s">
        <v>72</v>
      </c>
      <c r="M49" s="77" t="s">
        <v>105</v>
      </c>
      <c r="N49" s="80">
        <v>9215.2800000000007</v>
      </c>
      <c r="O49" s="77">
        <v>1</v>
      </c>
      <c r="P49" s="77">
        <v>0</v>
      </c>
      <c r="Q49" s="77"/>
      <c r="R49" s="77"/>
      <c r="S49" s="77"/>
      <c r="T49" s="77"/>
      <c r="U49" s="81"/>
      <c r="V49" s="82"/>
      <c r="W49" s="77"/>
      <c r="X49" s="77"/>
      <c r="Y49" s="77"/>
      <c r="Z49" s="77"/>
      <c r="AA49" s="83"/>
      <c r="AB49" s="77" t="str">
        <f t="shared" ca="1" si="2"/>
        <v/>
      </c>
      <c r="AC49" s="84"/>
      <c r="AD49" s="84"/>
      <c r="AE49" s="85"/>
      <c r="AF49" s="84"/>
      <c r="AG49" s="84"/>
      <c r="AH49" s="85"/>
      <c r="AI49" s="85"/>
      <c r="AJ49" s="86" t="str">
        <f>IF(OR(Processos!$H49="Alienação",Processos!$H49="Concessão"),"",(N49-AI49)-(AE49+AH49))</f>
        <v/>
      </c>
      <c r="AK49" s="87" t="str">
        <f t="shared" si="3"/>
        <v/>
      </c>
      <c r="AL49" s="79"/>
      <c r="AM49" s="88">
        <v>44238</v>
      </c>
      <c r="AN49" s="89"/>
      <c r="AO49" s="90" t="str">
        <f>IF(Tabela1[[#This Row],[Data de aprovação]]="","",Tabela1[[#This Row],[Data de aprovação]]-Tabela1[[#This Row],[Data de abertura]])</f>
        <v/>
      </c>
      <c r="AP49" s="91"/>
      <c r="AMG49" s="93"/>
      <c r="AMH49" s="93"/>
      <c r="AMI49" s="93"/>
      <c r="AMJ49" s="93"/>
    </row>
    <row r="50" spans="1:1024" s="92" customFormat="1" ht="15" customHeight="1" x14ac:dyDescent="0.15">
      <c r="A50" s="74"/>
      <c r="B50" s="75">
        <v>45</v>
      </c>
      <c r="C50" s="76" t="s">
        <v>273</v>
      </c>
      <c r="D50" s="77" t="s">
        <v>66</v>
      </c>
      <c r="E50" s="77" t="s">
        <v>67</v>
      </c>
      <c r="F50" s="77" t="s">
        <v>274</v>
      </c>
      <c r="G50" s="77" t="s">
        <v>58</v>
      </c>
      <c r="H50" s="77" t="s">
        <v>69</v>
      </c>
      <c r="I50" s="77" t="s">
        <v>275</v>
      </c>
      <c r="J50" s="77" t="s">
        <v>245</v>
      </c>
      <c r="K50" s="78">
        <v>44277</v>
      </c>
      <c r="L50" s="79" t="s">
        <v>72</v>
      </c>
      <c r="M50" s="77" t="s">
        <v>110</v>
      </c>
      <c r="N50" s="80">
        <v>63754.32</v>
      </c>
      <c r="O50" s="77">
        <v>1</v>
      </c>
      <c r="P50" s="77">
        <v>0</v>
      </c>
      <c r="Q50" s="77"/>
      <c r="R50" s="77"/>
      <c r="S50" s="77"/>
      <c r="T50" s="77"/>
      <c r="U50" s="81"/>
      <c r="V50" s="82"/>
      <c r="W50" s="77"/>
      <c r="X50" s="77"/>
      <c r="Y50" s="77"/>
      <c r="Z50" s="77"/>
      <c r="AA50" s="83"/>
      <c r="AB50" s="77" t="str">
        <f t="shared" ca="1" si="2"/>
        <v/>
      </c>
      <c r="AC50" s="84"/>
      <c r="AD50" s="84"/>
      <c r="AE50" s="85"/>
      <c r="AF50" s="84"/>
      <c r="AG50" s="84"/>
      <c r="AH50" s="85"/>
      <c r="AI50" s="85"/>
      <c r="AJ50" s="86" t="str">
        <f>IF(OR(Processos!$H50="Alienação",Processos!$H50="Concessão"),"",(N50-AI50)-(AE50+AH50))</f>
        <v/>
      </c>
      <c r="AK50" s="87" t="str">
        <f t="shared" si="3"/>
        <v/>
      </c>
      <c r="AL50" s="79"/>
      <c r="AM50" s="88">
        <v>44273</v>
      </c>
      <c r="AN50" s="89"/>
      <c r="AO50" s="90" t="str">
        <f>IF(Tabela1[[#This Row],[Data de aprovação]]="","",Tabela1[[#This Row],[Data de aprovação]]-Tabela1[[#This Row],[Data de abertura]])</f>
        <v/>
      </c>
      <c r="AP50" s="91"/>
      <c r="AMG50" s="93"/>
      <c r="AMH50" s="93"/>
      <c r="AMI50" s="93"/>
      <c r="AMJ50" s="93"/>
    </row>
    <row r="51" spans="1:1024" s="92" customFormat="1" ht="15" customHeight="1" x14ac:dyDescent="0.15">
      <c r="A51" s="74"/>
      <c r="B51" s="75">
        <v>46</v>
      </c>
      <c r="C51" s="76" t="s">
        <v>276</v>
      </c>
      <c r="D51" s="77" t="s">
        <v>66</v>
      </c>
      <c r="E51" s="77" t="s">
        <v>67</v>
      </c>
      <c r="F51" s="77" t="s">
        <v>277</v>
      </c>
      <c r="G51" s="77" t="s">
        <v>58</v>
      </c>
      <c r="H51" s="77" t="s">
        <v>69</v>
      </c>
      <c r="I51" s="77" t="s">
        <v>278</v>
      </c>
      <c r="J51" s="77" t="s">
        <v>279</v>
      </c>
      <c r="K51" s="78">
        <v>44284</v>
      </c>
      <c r="L51" s="79" t="s">
        <v>72</v>
      </c>
      <c r="M51" s="77" t="s">
        <v>96</v>
      </c>
      <c r="N51" s="80">
        <v>45555.39</v>
      </c>
      <c r="O51" s="77">
        <v>1</v>
      </c>
      <c r="P51" s="77">
        <v>0</v>
      </c>
      <c r="Q51" s="77"/>
      <c r="R51" s="77"/>
      <c r="S51" s="77"/>
      <c r="T51" s="77"/>
      <c r="U51" s="81"/>
      <c r="V51" s="82"/>
      <c r="W51" s="77"/>
      <c r="X51" s="77"/>
      <c r="Y51" s="77"/>
      <c r="Z51" s="77"/>
      <c r="AA51" s="83"/>
      <c r="AB51" s="77" t="str">
        <f t="shared" ca="1" si="2"/>
        <v/>
      </c>
      <c r="AC51" s="84"/>
      <c r="AD51" s="84"/>
      <c r="AE51" s="85"/>
      <c r="AF51" s="84"/>
      <c r="AG51" s="84"/>
      <c r="AH51" s="85"/>
      <c r="AI51" s="85"/>
      <c r="AJ51" s="86" t="str">
        <f>IF(OR(Processos!$H51="Alienação",Processos!$H51="Concessão"),"",(N51-AI51)-(AE51+AH51))</f>
        <v/>
      </c>
      <c r="AK51" s="87" t="str">
        <f t="shared" si="3"/>
        <v/>
      </c>
      <c r="AL51" s="79"/>
      <c r="AM51" s="88">
        <v>44277</v>
      </c>
      <c r="AN51" s="89"/>
      <c r="AO51" s="90" t="str">
        <f>IF(Tabela1[[#This Row],[Data de aprovação]]="","",Tabela1[[#This Row],[Data de aprovação]]-Tabela1[[#This Row],[Data de abertura]])</f>
        <v/>
      </c>
      <c r="AP51" s="91"/>
      <c r="AMG51" s="93"/>
      <c r="AMH51" s="93"/>
      <c r="AMI51" s="93"/>
      <c r="AMJ51" s="93"/>
    </row>
    <row r="52" spans="1:1024" s="92" customFormat="1" ht="15" customHeight="1" x14ac:dyDescent="0.15">
      <c r="A52" s="74"/>
      <c r="B52" s="75">
        <v>47</v>
      </c>
      <c r="C52" s="76" t="s">
        <v>280</v>
      </c>
      <c r="D52" s="77" t="s">
        <v>66</v>
      </c>
      <c r="E52" s="77" t="s">
        <v>67</v>
      </c>
      <c r="F52" s="77" t="s">
        <v>281</v>
      </c>
      <c r="G52" s="77" t="s">
        <v>58</v>
      </c>
      <c r="H52" s="77" t="s">
        <v>69</v>
      </c>
      <c r="I52" s="77" t="s">
        <v>282</v>
      </c>
      <c r="J52" s="77" t="s">
        <v>80</v>
      </c>
      <c r="K52" s="78">
        <v>44286</v>
      </c>
      <c r="L52" s="79" t="s">
        <v>72</v>
      </c>
      <c r="M52" s="77" t="s">
        <v>73</v>
      </c>
      <c r="N52" s="80">
        <v>6119.4</v>
      </c>
      <c r="O52" s="77">
        <v>1</v>
      </c>
      <c r="P52" s="77">
        <v>0</v>
      </c>
      <c r="Q52" s="77"/>
      <c r="R52" s="77"/>
      <c r="S52" s="77"/>
      <c r="T52" s="77"/>
      <c r="U52" s="81"/>
      <c r="V52" s="82"/>
      <c r="W52" s="77"/>
      <c r="X52" s="77"/>
      <c r="Y52" s="77"/>
      <c r="Z52" s="77"/>
      <c r="AA52" s="83"/>
      <c r="AB52" s="77" t="str">
        <f t="shared" ca="1" si="2"/>
        <v/>
      </c>
      <c r="AC52" s="84"/>
      <c r="AD52" s="84"/>
      <c r="AE52" s="85"/>
      <c r="AF52" s="84"/>
      <c r="AG52" s="84"/>
      <c r="AH52" s="85"/>
      <c r="AI52" s="85"/>
      <c r="AJ52" s="86" t="str">
        <f>IF(OR(Processos!$H52="Alienação",Processos!$H52="Concessão"),"",(N52-AI52)-(AE52+AH52))</f>
        <v/>
      </c>
      <c r="AK52" s="87" t="str">
        <f t="shared" si="3"/>
        <v/>
      </c>
      <c r="AL52" s="79"/>
      <c r="AM52" s="88">
        <v>44281</v>
      </c>
      <c r="AN52" s="89"/>
      <c r="AO52" s="90" t="str">
        <f>IF(Tabela1[[#This Row],[Data de aprovação]]="","",Tabela1[[#This Row],[Data de aprovação]]-Tabela1[[#This Row],[Data de abertura]])</f>
        <v/>
      </c>
      <c r="AP52" s="91"/>
      <c r="AMG52" s="93"/>
      <c r="AMH52" s="93"/>
      <c r="AMI52" s="93"/>
      <c r="AMJ52" s="93"/>
    </row>
    <row r="53" spans="1:1024" s="92" customFormat="1" ht="15" customHeight="1" x14ac:dyDescent="0.15">
      <c r="A53" s="74"/>
      <c r="B53" s="75">
        <v>48</v>
      </c>
      <c r="C53" s="76" t="s">
        <v>283</v>
      </c>
      <c r="D53" s="77" t="s">
        <v>75</v>
      </c>
      <c r="E53" s="77" t="s">
        <v>76</v>
      </c>
      <c r="F53" s="77" t="s">
        <v>284</v>
      </c>
      <c r="G53" s="77" t="s">
        <v>247</v>
      </c>
      <c r="H53" s="77" t="s">
        <v>59</v>
      </c>
      <c r="I53" s="77" t="s">
        <v>285</v>
      </c>
      <c r="J53" s="77" t="s">
        <v>286</v>
      </c>
      <c r="K53" s="78">
        <v>44287</v>
      </c>
      <c r="L53" s="79" t="s">
        <v>72</v>
      </c>
      <c r="M53" s="77" t="s">
        <v>63</v>
      </c>
      <c r="N53" s="80">
        <v>385690.56</v>
      </c>
      <c r="O53" s="77">
        <v>4</v>
      </c>
      <c r="P53" s="77">
        <v>2</v>
      </c>
      <c r="Q53" s="77"/>
      <c r="R53" s="77"/>
      <c r="S53" s="77"/>
      <c r="T53" s="77"/>
      <c r="U53" s="81"/>
      <c r="V53" s="82"/>
      <c r="W53" s="77"/>
      <c r="X53" s="77"/>
      <c r="Y53" s="77"/>
      <c r="Z53" s="77"/>
      <c r="AA53" s="83"/>
      <c r="AB53" s="77" t="str">
        <f t="shared" ca="1" si="2"/>
        <v/>
      </c>
      <c r="AC53" s="84"/>
      <c r="AD53" s="84"/>
      <c r="AE53" s="85"/>
      <c r="AF53" s="84"/>
      <c r="AG53" s="84"/>
      <c r="AH53" s="85"/>
      <c r="AI53" s="85"/>
      <c r="AJ53" s="86">
        <f>IF(OR(Processos!$H53="Alienação",Processos!$H53="Concessão"),"",(N53-AI53)-(AE53+AH53))</f>
        <v>385690.56</v>
      </c>
      <c r="AK53" s="87">
        <f t="shared" si="3"/>
        <v>1</v>
      </c>
      <c r="AL53" s="79"/>
      <c r="AM53" s="88">
        <v>44256</v>
      </c>
      <c r="AN53" s="89"/>
      <c r="AO53" s="90" t="str">
        <f>IF(Tabela1[[#This Row],[Data de aprovação]]="","",Tabela1[[#This Row],[Data de aprovação]]-Tabela1[[#This Row],[Data de abertura]])</f>
        <v/>
      </c>
      <c r="AP53" s="91"/>
      <c r="AMG53" s="93"/>
      <c r="AMH53" s="93"/>
      <c r="AMI53" s="93"/>
      <c r="AMJ53" s="93"/>
    </row>
    <row r="54" spans="1:1024" s="92" customFormat="1" ht="15" customHeight="1" x14ac:dyDescent="0.15">
      <c r="A54" s="74"/>
      <c r="B54" s="75">
        <v>49</v>
      </c>
      <c r="C54" s="76" t="s">
        <v>287</v>
      </c>
      <c r="D54" s="77" t="s">
        <v>75</v>
      </c>
      <c r="E54" s="77" t="s">
        <v>76</v>
      </c>
      <c r="F54" s="77" t="s">
        <v>288</v>
      </c>
      <c r="G54" s="77" t="s">
        <v>252</v>
      </c>
      <c r="H54" s="77" t="s">
        <v>59</v>
      </c>
      <c r="I54" s="77" t="s">
        <v>289</v>
      </c>
      <c r="J54" s="77" t="s">
        <v>245</v>
      </c>
      <c r="K54" s="78">
        <v>44418</v>
      </c>
      <c r="L54" s="79" t="s">
        <v>72</v>
      </c>
      <c r="M54" s="77" t="s">
        <v>105</v>
      </c>
      <c r="N54" s="80">
        <v>9313400.6999999993</v>
      </c>
      <c r="O54" s="77">
        <v>6</v>
      </c>
      <c r="P54" s="77">
        <v>1</v>
      </c>
      <c r="Q54" s="77"/>
      <c r="R54" s="77"/>
      <c r="S54" s="77"/>
      <c r="T54" s="77"/>
      <c r="U54" s="81"/>
      <c r="V54" s="82"/>
      <c r="W54" s="77"/>
      <c r="X54" s="77"/>
      <c r="Y54" s="77"/>
      <c r="Z54" s="77"/>
      <c r="AA54" s="83"/>
      <c r="AB54" s="77" t="str">
        <f t="shared" ca="1" si="2"/>
        <v/>
      </c>
      <c r="AC54" s="84"/>
      <c r="AD54" s="84"/>
      <c r="AE54" s="85"/>
      <c r="AF54" s="84"/>
      <c r="AG54" s="84"/>
      <c r="AH54" s="85"/>
      <c r="AI54" s="85"/>
      <c r="AJ54" s="86">
        <f>IF(OR(Processos!$H54="Alienação",Processos!$H54="Concessão"),"",(N54-AI54)-(AE54+AH54))</f>
        <v>9313400.6999999993</v>
      </c>
      <c r="AK54" s="87">
        <f t="shared" si="3"/>
        <v>1</v>
      </c>
      <c r="AL54" s="79"/>
      <c r="AM54" s="88">
        <v>44186</v>
      </c>
      <c r="AN54" s="89"/>
      <c r="AO54" s="90" t="str">
        <f>IF(Tabela1[[#This Row],[Data de aprovação]]="","",Tabela1[[#This Row],[Data de aprovação]]-Tabela1[[#This Row],[Data de abertura]])</f>
        <v/>
      </c>
      <c r="AP54" s="91"/>
      <c r="AMG54" s="93"/>
      <c r="AMH54" s="93"/>
      <c r="AMI54" s="93"/>
      <c r="AMJ54" s="93"/>
    </row>
    <row r="55" spans="1:1024" s="92" customFormat="1" ht="15" customHeight="1" x14ac:dyDescent="0.15">
      <c r="A55" s="74"/>
      <c r="B55" s="75">
        <v>50</v>
      </c>
      <c r="C55" s="76" t="s">
        <v>290</v>
      </c>
      <c r="D55" s="77" t="s">
        <v>75</v>
      </c>
      <c r="E55" s="77" t="s">
        <v>76</v>
      </c>
      <c r="F55" s="77" t="s">
        <v>291</v>
      </c>
      <c r="G55" s="77" t="s">
        <v>292</v>
      </c>
      <c r="H55" s="77" t="s">
        <v>174</v>
      </c>
      <c r="I55" s="77" t="s">
        <v>293</v>
      </c>
      <c r="J55" s="77" t="s">
        <v>80</v>
      </c>
      <c r="K55" s="78">
        <v>44337</v>
      </c>
      <c r="L55" s="79" t="s">
        <v>125</v>
      </c>
      <c r="M55" s="77" t="s">
        <v>206</v>
      </c>
      <c r="N55" s="80">
        <v>16822.54</v>
      </c>
      <c r="O55" s="77">
        <v>9</v>
      </c>
      <c r="P55" s="77">
        <v>0</v>
      </c>
      <c r="Q55" s="77" t="s">
        <v>82</v>
      </c>
      <c r="R55" s="77" t="s">
        <v>83</v>
      </c>
      <c r="S55" s="77" t="s">
        <v>82</v>
      </c>
      <c r="T55" s="77" t="s">
        <v>82</v>
      </c>
      <c r="U55" s="81">
        <v>44315</v>
      </c>
      <c r="V55" s="82">
        <v>0.375</v>
      </c>
      <c r="W55" s="77" t="s">
        <v>82</v>
      </c>
      <c r="X55" s="77" t="s">
        <v>83</v>
      </c>
      <c r="Y55" s="77"/>
      <c r="Z55" s="77" t="s">
        <v>82</v>
      </c>
      <c r="AA55" s="83">
        <v>44335</v>
      </c>
      <c r="AB55" s="77">
        <f t="shared" ca="1" si="2"/>
        <v>20</v>
      </c>
      <c r="AC55" s="84">
        <v>8</v>
      </c>
      <c r="AD55" s="84"/>
      <c r="AE55" s="85"/>
      <c r="AF55" s="84"/>
      <c r="AG55" s="84">
        <v>1</v>
      </c>
      <c r="AH55" s="85">
        <v>486.09</v>
      </c>
      <c r="AI55" s="85">
        <v>15836.53</v>
      </c>
      <c r="AJ55" s="86">
        <f>IF(OR(Processos!$H55="Alienação",Processos!$H55="Concessão"),"",(N55-AI55)-(AE55+AH55))</f>
        <v>499.92000000000024</v>
      </c>
      <c r="AK55" s="87">
        <f t="shared" si="3"/>
        <v>2.9717272183629833E-2</v>
      </c>
      <c r="AL55" s="79" t="s">
        <v>86</v>
      </c>
      <c r="AM55" s="88">
        <v>44244</v>
      </c>
      <c r="AN55" s="89">
        <v>44293</v>
      </c>
      <c r="AO55" s="90">
        <f>IF(Tabela1[[#This Row],[Data de aprovação]]="","",Tabela1[[#This Row],[Data de aprovação]]-Tabela1[[#This Row],[Data de abertura]])</f>
        <v>49</v>
      </c>
      <c r="AP55" s="91"/>
      <c r="AMG55" s="93"/>
      <c r="AMH55" s="93"/>
      <c r="AMI55" s="93"/>
      <c r="AMJ55" s="93"/>
    </row>
    <row r="56" spans="1:1024" s="92" customFormat="1" ht="15" customHeight="1" x14ac:dyDescent="0.15">
      <c r="A56" s="74"/>
      <c r="B56" s="75">
        <v>51</v>
      </c>
      <c r="C56" s="76" t="s">
        <v>294</v>
      </c>
      <c r="D56" s="77" t="s">
        <v>75</v>
      </c>
      <c r="E56" s="77" t="s">
        <v>76</v>
      </c>
      <c r="F56" s="77" t="s">
        <v>295</v>
      </c>
      <c r="G56" s="77" t="s">
        <v>296</v>
      </c>
      <c r="H56" s="77" t="s">
        <v>59</v>
      </c>
      <c r="I56" s="77" t="s">
        <v>297</v>
      </c>
      <c r="J56" s="77" t="s">
        <v>298</v>
      </c>
      <c r="K56" s="78">
        <v>44449</v>
      </c>
      <c r="L56" s="79" t="s">
        <v>453</v>
      </c>
      <c r="M56" s="77" t="s">
        <v>105</v>
      </c>
      <c r="N56" s="80">
        <v>106479.84</v>
      </c>
      <c r="O56" s="77">
        <v>3</v>
      </c>
      <c r="P56" s="77">
        <v>1</v>
      </c>
      <c r="Q56" s="77"/>
      <c r="R56" s="77"/>
      <c r="S56" s="77"/>
      <c r="T56" s="77"/>
      <c r="U56" s="81">
        <v>44447</v>
      </c>
      <c r="V56" s="82">
        <v>0.35416666666666702</v>
      </c>
      <c r="W56" s="77"/>
      <c r="X56" s="77"/>
      <c r="Y56" s="77"/>
      <c r="Z56" s="77"/>
      <c r="AA56" s="83"/>
      <c r="AB56" s="77">
        <f t="shared" ca="1" si="2"/>
        <v>5</v>
      </c>
      <c r="AC56" s="84"/>
      <c r="AD56" s="84"/>
      <c r="AE56" s="85"/>
      <c r="AF56" s="84"/>
      <c r="AG56" s="84"/>
      <c r="AH56" s="85"/>
      <c r="AI56" s="85"/>
      <c r="AJ56" s="86">
        <f>IF(OR(Processos!$H56="Alienação",Processos!$H56="Concessão"),"",(N56-AI56)-(AE56+AH56))</f>
        <v>106479.84</v>
      </c>
      <c r="AK56" s="87">
        <f t="shared" si="3"/>
        <v>1</v>
      </c>
      <c r="AL56" s="79"/>
      <c r="AM56" s="88">
        <v>44294</v>
      </c>
      <c r="AN56" s="89">
        <v>44420</v>
      </c>
      <c r="AO56" s="90">
        <f>IF(Tabela1[[#This Row],[Data de aprovação]]="","",Tabela1[[#This Row],[Data de aprovação]]-Tabela1[[#This Row],[Data de abertura]])</f>
        <v>126</v>
      </c>
      <c r="AP56" s="91" t="s">
        <v>627</v>
      </c>
      <c r="AMG56" s="93"/>
      <c r="AMH56" s="93"/>
      <c r="AMI56" s="93"/>
      <c r="AMJ56" s="93"/>
    </row>
    <row r="57" spans="1:1024" s="92" customFormat="1" ht="15" customHeight="1" x14ac:dyDescent="0.15">
      <c r="A57" s="74"/>
      <c r="B57" s="75">
        <v>52</v>
      </c>
      <c r="C57" s="76" t="s">
        <v>299</v>
      </c>
      <c r="D57" s="77" t="s">
        <v>75</v>
      </c>
      <c r="E57" s="77" t="s">
        <v>76</v>
      </c>
      <c r="F57" s="77" t="s">
        <v>300</v>
      </c>
      <c r="G57" s="77" t="s">
        <v>301</v>
      </c>
      <c r="H57" s="77" t="s">
        <v>59</v>
      </c>
      <c r="I57" s="77" t="s">
        <v>302</v>
      </c>
      <c r="J57" s="77" t="s">
        <v>95</v>
      </c>
      <c r="K57" s="78">
        <v>44299</v>
      </c>
      <c r="L57" s="79" t="s">
        <v>72</v>
      </c>
      <c r="M57" s="77" t="s">
        <v>63</v>
      </c>
      <c r="N57" s="80">
        <v>44439</v>
      </c>
      <c r="O57" s="77">
        <v>8</v>
      </c>
      <c r="P57" s="77">
        <v>3</v>
      </c>
      <c r="Q57" s="77"/>
      <c r="R57" s="77"/>
      <c r="S57" s="77"/>
      <c r="T57" s="77"/>
      <c r="U57" s="81"/>
      <c r="V57" s="82"/>
      <c r="W57" s="77"/>
      <c r="X57" s="77"/>
      <c r="Y57" s="77"/>
      <c r="Z57" s="77"/>
      <c r="AA57" s="83"/>
      <c r="AB57" s="77" t="str">
        <f t="shared" ca="1" si="2"/>
        <v/>
      </c>
      <c r="AC57" s="84"/>
      <c r="AD57" s="84"/>
      <c r="AE57" s="85"/>
      <c r="AF57" s="84"/>
      <c r="AG57" s="84"/>
      <c r="AH57" s="85"/>
      <c r="AI57" s="85"/>
      <c r="AJ57" s="86">
        <f>IF(OR(Processos!$H57="Alienação",Processos!$H57="Concessão"),"",(N57-AI57)-(AE57+AH57))</f>
        <v>44439</v>
      </c>
      <c r="AK57" s="87">
        <f t="shared" si="3"/>
        <v>1</v>
      </c>
      <c r="AL57" s="79"/>
      <c r="AM57" s="88">
        <v>44186</v>
      </c>
      <c r="AN57" s="89"/>
      <c r="AO57" s="90" t="str">
        <f>IF(Tabela1[[#This Row],[Data de aprovação]]="","",Tabela1[[#This Row],[Data de aprovação]]-Tabela1[[#This Row],[Data de abertura]])</f>
        <v/>
      </c>
      <c r="AP57" s="91"/>
      <c r="AMG57" s="93"/>
      <c r="AMH57" s="93"/>
      <c r="AMI57" s="93"/>
      <c r="AMJ57" s="93"/>
    </row>
    <row r="58" spans="1:1024" s="92" customFormat="1" ht="15" customHeight="1" x14ac:dyDescent="0.15">
      <c r="A58" s="74"/>
      <c r="B58" s="75">
        <v>53</v>
      </c>
      <c r="C58" s="76" t="s">
        <v>303</v>
      </c>
      <c r="D58" s="77" t="s">
        <v>75</v>
      </c>
      <c r="E58" s="77" t="s">
        <v>76</v>
      </c>
      <c r="F58" s="77" t="s">
        <v>304</v>
      </c>
      <c r="G58" s="77" t="s">
        <v>305</v>
      </c>
      <c r="H58" s="77" t="s">
        <v>174</v>
      </c>
      <c r="I58" s="77" t="s">
        <v>306</v>
      </c>
      <c r="J58" s="77" t="s">
        <v>210</v>
      </c>
      <c r="K58" s="78">
        <v>44326</v>
      </c>
      <c r="L58" s="79" t="s">
        <v>125</v>
      </c>
      <c r="M58" s="77" t="s">
        <v>206</v>
      </c>
      <c r="N58" s="80">
        <v>130105.54</v>
      </c>
      <c r="O58" s="77">
        <v>30</v>
      </c>
      <c r="P58" s="77">
        <v>0</v>
      </c>
      <c r="Q58" s="77" t="s">
        <v>82</v>
      </c>
      <c r="R58" s="77" t="s">
        <v>83</v>
      </c>
      <c r="S58" s="77" t="s">
        <v>82</v>
      </c>
      <c r="T58" s="77" t="s">
        <v>83</v>
      </c>
      <c r="U58" s="81">
        <v>44319</v>
      </c>
      <c r="V58" s="82">
        <v>0.375</v>
      </c>
      <c r="W58" s="77" t="s">
        <v>82</v>
      </c>
      <c r="X58" s="77" t="s">
        <v>83</v>
      </c>
      <c r="Y58" s="77"/>
      <c r="Z58" s="77" t="s">
        <v>82</v>
      </c>
      <c r="AA58" s="83">
        <v>44323</v>
      </c>
      <c r="AB58" s="77">
        <f t="shared" ca="1" si="2"/>
        <v>4</v>
      </c>
      <c r="AC58" s="84">
        <v>1</v>
      </c>
      <c r="AD58" s="84"/>
      <c r="AE58" s="85"/>
      <c r="AF58" s="84"/>
      <c r="AG58" s="84">
        <v>29</v>
      </c>
      <c r="AH58" s="85">
        <v>128725.54</v>
      </c>
      <c r="AI58" s="85">
        <v>1380</v>
      </c>
      <c r="AJ58" s="86">
        <f>IF(OR(Processos!$H58="Alienação",Processos!$H58="Concessão"),"",(N58-AI58)-(AE58+AH58))</f>
        <v>0</v>
      </c>
      <c r="AK58" s="87">
        <f t="shared" si="3"/>
        <v>0</v>
      </c>
      <c r="AL58" s="79" t="s">
        <v>86</v>
      </c>
      <c r="AM58" s="88">
        <v>44279</v>
      </c>
      <c r="AN58" s="89">
        <v>44298</v>
      </c>
      <c r="AO58" s="90">
        <f>IF(Tabela1[[#This Row],[Data de aprovação]]="","",Tabela1[[#This Row],[Data de aprovação]]-Tabela1[[#This Row],[Data de abertura]])</f>
        <v>19</v>
      </c>
      <c r="AP58" s="91"/>
      <c r="AMG58" s="93"/>
      <c r="AMH58" s="93"/>
      <c r="AMI58" s="93"/>
      <c r="AMJ58" s="93"/>
    </row>
    <row r="59" spans="1:1024" s="92" customFormat="1" ht="15" customHeight="1" x14ac:dyDescent="0.15">
      <c r="A59" s="74"/>
      <c r="B59" s="75">
        <v>54</v>
      </c>
      <c r="C59" s="76" t="s">
        <v>307</v>
      </c>
      <c r="D59" s="77" t="s">
        <v>66</v>
      </c>
      <c r="E59" s="77" t="s">
        <v>67</v>
      </c>
      <c r="F59" s="77" t="s">
        <v>308</v>
      </c>
      <c r="G59" s="77" t="s">
        <v>58</v>
      </c>
      <c r="H59" s="77" t="s">
        <v>69</v>
      </c>
      <c r="I59" s="77" t="s">
        <v>309</v>
      </c>
      <c r="J59" s="77" t="s">
        <v>272</v>
      </c>
      <c r="K59" s="78">
        <v>44306</v>
      </c>
      <c r="L59" s="79" t="s">
        <v>72</v>
      </c>
      <c r="M59" s="77" t="s">
        <v>96</v>
      </c>
      <c r="N59" s="80">
        <v>28539</v>
      </c>
      <c r="O59" s="77">
        <v>1</v>
      </c>
      <c r="P59" s="77">
        <v>0</v>
      </c>
      <c r="Q59" s="77"/>
      <c r="R59" s="77"/>
      <c r="S59" s="77"/>
      <c r="T59" s="77"/>
      <c r="U59" s="81"/>
      <c r="V59" s="82"/>
      <c r="W59" s="77"/>
      <c r="X59" s="77"/>
      <c r="Y59" s="77"/>
      <c r="Z59" s="77"/>
      <c r="AA59" s="83"/>
      <c r="AB59" s="77"/>
      <c r="AC59" s="84"/>
      <c r="AD59" s="84"/>
      <c r="AE59" s="85"/>
      <c r="AF59" s="84"/>
      <c r="AG59" s="84"/>
      <c r="AH59" s="85"/>
      <c r="AI59" s="85"/>
      <c r="AJ59" s="86"/>
      <c r="AK59" s="87"/>
      <c r="AL59" s="79"/>
      <c r="AM59" s="88">
        <v>44302</v>
      </c>
      <c r="AN59" s="89"/>
      <c r="AO59" s="90"/>
      <c r="AP59" s="91"/>
      <c r="AMG59" s="93"/>
      <c r="AMH59" s="93"/>
      <c r="AMI59" s="93"/>
      <c r="AMJ59" s="93"/>
    </row>
    <row r="60" spans="1:1024" s="92" customFormat="1" ht="15" customHeight="1" x14ac:dyDescent="0.15">
      <c r="A60" s="74"/>
      <c r="B60" s="75">
        <v>55</v>
      </c>
      <c r="C60" s="76" t="s">
        <v>310</v>
      </c>
      <c r="D60" s="77" t="s">
        <v>75</v>
      </c>
      <c r="E60" s="77" t="s">
        <v>76</v>
      </c>
      <c r="F60" s="77" t="s">
        <v>311</v>
      </c>
      <c r="G60" s="77" t="s">
        <v>312</v>
      </c>
      <c r="H60" s="77" t="s">
        <v>174</v>
      </c>
      <c r="I60" s="77" t="s">
        <v>313</v>
      </c>
      <c r="J60" s="77" t="s">
        <v>124</v>
      </c>
      <c r="K60" s="78">
        <v>44334</v>
      </c>
      <c r="L60" s="79" t="s">
        <v>125</v>
      </c>
      <c r="M60" s="77" t="s">
        <v>206</v>
      </c>
      <c r="N60" s="80">
        <v>85420.4</v>
      </c>
      <c r="O60" s="77">
        <v>65</v>
      </c>
      <c r="P60" s="77">
        <v>0</v>
      </c>
      <c r="Q60" s="77" t="s">
        <v>82</v>
      </c>
      <c r="R60" s="77" t="s">
        <v>83</v>
      </c>
      <c r="S60" s="77" t="s">
        <v>82</v>
      </c>
      <c r="T60" s="77" t="s">
        <v>82</v>
      </c>
      <c r="U60" s="81">
        <v>44327</v>
      </c>
      <c r="V60" s="82">
        <v>0.375</v>
      </c>
      <c r="W60" s="77" t="s">
        <v>82</v>
      </c>
      <c r="X60" s="77" t="s">
        <v>83</v>
      </c>
      <c r="Y60" s="77"/>
      <c r="Z60" s="77" t="s">
        <v>82</v>
      </c>
      <c r="AA60" s="83">
        <v>44330</v>
      </c>
      <c r="AB60" s="77">
        <f t="shared" ref="AB60:AB72" ca="1" si="4">IF(U60="","",IF(AA60="",TODAY()-U60,IF(AA60-U60,AA60-U60,0)))</f>
        <v>3</v>
      </c>
      <c r="AC60" s="84">
        <v>29</v>
      </c>
      <c r="AD60" s="84"/>
      <c r="AE60" s="85"/>
      <c r="AF60" s="84"/>
      <c r="AG60" s="84">
        <v>36</v>
      </c>
      <c r="AH60" s="85">
        <v>25686.98</v>
      </c>
      <c r="AI60" s="85">
        <v>59241.919999999998</v>
      </c>
      <c r="AJ60" s="86">
        <f>IF(OR(Processos!$H60="Alienação",Processos!$H60="Concessão"),"",(N60-AI60)-(AE60+AH60))</f>
        <v>491.49999999999636</v>
      </c>
      <c r="AK60" s="87">
        <f t="shared" ref="AK60:AK73" si="5">IF(ISERROR((AJ60*100)/N60/100),"",(AJ60*100)/N60/100)</f>
        <v>5.753894854156576E-3</v>
      </c>
      <c r="AL60" s="79" t="s">
        <v>86</v>
      </c>
      <c r="AM60" s="88">
        <v>44244</v>
      </c>
      <c r="AN60" s="89">
        <v>44306</v>
      </c>
      <c r="AO60" s="90">
        <f>IF(Tabela1[[#This Row],[Data de aprovação]]="","",Tabela1[[#This Row],[Data de aprovação]]-Tabela1[[#This Row],[Data de abertura]])</f>
        <v>62</v>
      </c>
      <c r="AP60" s="91"/>
      <c r="AMG60" s="93"/>
      <c r="AMH60" s="93"/>
      <c r="AMI60" s="93"/>
      <c r="AMJ60" s="93"/>
    </row>
    <row r="61" spans="1:1024" s="92" customFormat="1" ht="15" customHeight="1" x14ac:dyDescent="0.15">
      <c r="A61" s="74"/>
      <c r="B61" s="75">
        <v>56</v>
      </c>
      <c r="C61" s="76" t="s">
        <v>314</v>
      </c>
      <c r="D61" s="77" t="s">
        <v>75</v>
      </c>
      <c r="E61" s="77" t="s">
        <v>76</v>
      </c>
      <c r="F61" s="77" t="s">
        <v>315</v>
      </c>
      <c r="G61" s="77" t="s">
        <v>316</v>
      </c>
      <c r="H61" s="77" t="s">
        <v>122</v>
      </c>
      <c r="I61" s="77" t="s">
        <v>317</v>
      </c>
      <c r="J61" s="77" t="s">
        <v>90</v>
      </c>
      <c r="K61" s="78">
        <v>44326</v>
      </c>
      <c r="L61" s="79" t="s">
        <v>318</v>
      </c>
      <c r="M61" s="77" t="s">
        <v>63</v>
      </c>
      <c r="N61" s="80">
        <v>763002.93999999983</v>
      </c>
      <c r="O61" s="77">
        <v>2</v>
      </c>
      <c r="P61" s="77">
        <v>0</v>
      </c>
      <c r="Q61" s="77" t="s">
        <v>82</v>
      </c>
      <c r="R61" s="77" t="s">
        <v>83</v>
      </c>
      <c r="S61" s="77" t="s">
        <v>82</v>
      </c>
      <c r="T61" s="77" t="s">
        <v>83</v>
      </c>
      <c r="U61" s="81">
        <v>44323</v>
      </c>
      <c r="V61" s="82">
        <v>0.41666666666666713</v>
      </c>
      <c r="W61" s="77" t="s">
        <v>82</v>
      </c>
      <c r="X61" s="77" t="s">
        <v>83</v>
      </c>
      <c r="Y61" s="77" t="s">
        <v>58</v>
      </c>
      <c r="Z61" s="77" t="s">
        <v>83</v>
      </c>
      <c r="AA61" s="83">
        <v>44326</v>
      </c>
      <c r="AB61" s="77">
        <f t="shared" ca="1" si="4"/>
        <v>3</v>
      </c>
      <c r="AC61" s="84">
        <v>0</v>
      </c>
      <c r="AD61" s="84">
        <v>0</v>
      </c>
      <c r="AE61" s="85">
        <v>0</v>
      </c>
      <c r="AF61" s="84" t="s">
        <v>58</v>
      </c>
      <c r="AG61" s="84">
        <v>2</v>
      </c>
      <c r="AH61" s="80">
        <v>763002.93999999983</v>
      </c>
      <c r="AI61" s="85">
        <v>0</v>
      </c>
      <c r="AJ61" s="86">
        <f>IF(OR(Processos!$H61="Alienação",Processos!$H61="Concessão"),"",(N61-AI61)-(AE61+AH61))</f>
        <v>0</v>
      </c>
      <c r="AK61" s="87">
        <f t="shared" si="5"/>
        <v>0</v>
      </c>
      <c r="AL61" s="79" t="s">
        <v>319</v>
      </c>
      <c r="AM61" s="88">
        <v>44274</v>
      </c>
      <c r="AN61" s="89">
        <v>44306</v>
      </c>
      <c r="AO61" s="90">
        <f>IF(Tabela1[[#This Row],[Data de aprovação]]="","",Tabela1[[#This Row],[Data de aprovação]]-Tabela1[[#This Row],[Data de abertura]])</f>
        <v>32</v>
      </c>
      <c r="AP61" s="91"/>
      <c r="AMG61" s="93"/>
      <c r="AMH61" s="93"/>
      <c r="AMI61" s="93"/>
      <c r="AMJ61" s="93"/>
    </row>
    <row r="62" spans="1:1024" s="92" customFormat="1" ht="15" customHeight="1" x14ac:dyDescent="0.15">
      <c r="A62" s="74"/>
      <c r="B62" s="75">
        <v>57</v>
      </c>
      <c r="C62" s="76" t="s">
        <v>320</v>
      </c>
      <c r="D62" s="77" t="s">
        <v>66</v>
      </c>
      <c r="E62" s="77" t="s">
        <v>67</v>
      </c>
      <c r="F62" s="77" t="s">
        <v>321</v>
      </c>
      <c r="G62" s="77" t="s">
        <v>58</v>
      </c>
      <c r="H62" s="77" t="s">
        <v>69</v>
      </c>
      <c r="I62" s="77" t="s">
        <v>322</v>
      </c>
      <c r="J62" s="77" t="s">
        <v>323</v>
      </c>
      <c r="K62" s="78">
        <v>44308</v>
      </c>
      <c r="L62" s="79" t="s">
        <v>72</v>
      </c>
      <c r="M62" s="77" t="s">
        <v>110</v>
      </c>
      <c r="N62" s="80">
        <v>203279.82</v>
      </c>
      <c r="O62" s="77">
        <v>1</v>
      </c>
      <c r="P62" s="77">
        <v>0</v>
      </c>
      <c r="Q62" s="77"/>
      <c r="R62" s="77"/>
      <c r="S62" s="77"/>
      <c r="T62" s="77"/>
      <c r="U62" s="81"/>
      <c r="V62" s="82"/>
      <c r="W62" s="77"/>
      <c r="X62" s="77"/>
      <c r="Y62" s="77"/>
      <c r="Z62" s="77"/>
      <c r="AA62" s="83"/>
      <c r="AB62" s="77" t="str">
        <f t="shared" ca="1" si="4"/>
        <v/>
      </c>
      <c r="AC62" s="84"/>
      <c r="AD62" s="84"/>
      <c r="AE62" s="85"/>
      <c r="AF62" s="84"/>
      <c r="AG62" s="84"/>
      <c r="AH62" s="85"/>
      <c r="AI62" s="85"/>
      <c r="AJ62" s="86" t="str">
        <f>IF(OR(Processos!$H62="Alienação",Processos!$H62="Concessão"),"",(N62-AI62)-(AE62+AH62))</f>
        <v/>
      </c>
      <c r="AK62" s="87" t="str">
        <f t="shared" si="5"/>
        <v/>
      </c>
      <c r="AL62" s="79"/>
      <c r="AM62" s="88">
        <v>44279</v>
      </c>
      <c r="AN62" s="89"/>
      <c r="AO62" s="90" t="str">
        <f>IF(Tabela1[[#This Row],[Data de aprovação]]="","",Tabela1[[#This Row],[Data de aprovação]]-Tabela1[[#This Row],[Data de abertura]])</f>
        <v/>
      </c>
      <c r="AP62" s="91"/>
      <c r="AMG62" s="93"/>
      <c r="AMH62" s="93"/>
      <c r="AMI62" s="93"/>
      <c r="AMJ62" s="93"/>
    </row>
    <row r="63" spans="1:1024" s="92" customFormat="1" ht="15" customHeight="1" x14ac:dyDescent="0.15">
      <c r="A63" s="74"/>
      <c r="B63" s="75">
        <v>58</v>
      </c>
      <c r="C63" s="76" t="s">
        <v>324</v>
      </c>
      <c r="D63" s="77" t="s">
        <v>75</v>
      </c>
      <c r="E63" s="77" t="s">
        <v>76</v>
      </c>
      <c r="F63" s="77" t="s">
        <v>325</v>
      </c>
      <c r="G63" s="77" t="s">
        <v>257</v>
      </c>
      <c r="H63" s="77" t="s">
        <v>174</v>
      </c>
      <c r="I63" s="77" t="s">
        <v>326</v>
      </c>
      <c r="J63" s="77" t="s">
        <v>109</v>
      </c>
      <c r="K63" s="78">
        <v>44340</v>
      </c>
      <c r="L63" s="79" t="s">
        <v>125</v>
      </c>
      <c r="M63" s="77" t="s">
        <v>105</v>
      </c>
      <c r="N63" s="80">
        <v>39160.32</v>
      </c>
      <c r="O63" s="77">
        <v>1</v>
      </c>
      <c r="P63" s="77">
        <v>0</v>
      </c>
      <c r="Q63" s="77" t="s">
        <v>82</v>
      </c>
      <c r="R63" s="77" t="s">
        <v>83</v>
      </c>
      <c r="S63" s="77" t="s">
        <v>82</v>
      </c>
      <c r="T63" s="77" t="s">
        <v>82</v>
      </c>
      <c r="U63" s="81">
        <v>44329</v>
      </c>
      <c r="V63" s="82">
        <v>0.35416666666666702</v>
      </c>
      <c r="W63" s="77" t="s">
        <v>82</v>
      </c>
      <c r="X63" s="77" t="s">
        <v>83</v>
      </c>
      <c r="Y63" s="77"/>
      <c r="Z63" s="77" t="s">
        <v>82</v>
      </c>
      <c r="AA63" s="83">
        <v>44333</v>
      </c>
      <c r="AB63" s="77">
        <f t="shared" ca="1" si="4"/>
        <v>4</v>
      </c>
      <c r="AC63" s="84">
        <v>1</v>
      </c>
      <c r="AD63" s="84">
        <v>0</v>
      </c>
      <c r="AE63" s="85">
        <v>0</v>
      </c>
      <c r="AF63" s="84"/>
      <c r="AG63" s="84">
        <v>0</v>
      </c>
      <c r="AH63" s="85">
        <v>0</v>
      </c>
      <c r="AI63" s="85">
        <v>38400</v>
      </c>
      <c r="AJ63" s="86">
        <f>IF(OR(Processos!$H63="Alienação",Processos!$H63="Concessão"),"",(N63-AI63)-(AE63+AH63))</f>
        <v>760.31999999999971</v>
      </c>
      <c r="AK63" s="87">
        <f t="shared" si="5"/>
        <v>1.9415571680721704E-2</v>
      </c>
      <c r="AL63" s="79" t="s">
        <v>86</v>
      </c>
      <c r="AM63" s="88">
        <v>44300</v>
      </c>
      <c r="AN63" s="89">
        <v>44309</v>
      </c>
      <c r="AO63" s="90">
        <f>IF(Tabela1[[#This Row],[Data de aprovação]]="","",Tabela1[[#This Row],[Data de aprovação]]-Tabela1[[#This Row],[Data de abertura]])</f>
        <v>9</v>
      </c>
      <c r="AP63" s="91"/>
      <c r="AMG63" s="93"/>
      <c r="AMH63" s="93"/>
      <c r="AMI63" s="93"/>
      <c r="AMJ63" s="93"/>
    </row>
    <row r="64" spans="1:1024" s="92" customFormat="1" ht="15" customHeight="1" x14ac:dyDescent="0.15">
      <c r="A64" s="74"/>
      <c r="B64" s="75">
        <v>59</v>
      </c>
      <c r="C64" s="76" t="s">
        <v>327</v>
      </c>
      <c r="D64" s="77" t="s">
        <v>75</v>
      </c>
      <c r="E64" s="77" t="s">
        <v>76</v>
      </c>
      <c r="F64" s="77" t="s">
        <v>328</v>
      </c>
      <c r="G64" s="77" t="s">
        <v>329</v>
      </c>
      <c r="H64" s="77" t="s">
        <v>174</v>
      </c>
      <c r="I64" s="77" t="s">
        <v>313</v>
      </c>
      <c r="J64" s="77" t="s">
        <v>124</v>
      </c>
      <c r="K64" s="78">
        <v>44340</v>
      </c>
      <c r="L64" s="79" t="s">
        <v>125</v>
      </c>
      <c r="M64" s="77" t="s">
        <v>73</v>
      </c>
      <c r="N64" s="80">
        <v>141866.22</v>
      </c>
      <c r="O64" s="77">
        <v>97</v>
      </c>
      <c r="P64" s="77">
        <v>0</v>
      </c>
      <c r="Q64" s="77" t="s">
        <v>82</v>
      </c>
      <c r="R64" s="77" t="s">
        <v>83</v>
      </c>
      <c r="S64" s="77" t="s">
        <v>82</v>
      </c>
      <c r="T64" s="77" t="s">
        <v>82</v>
      </c>
      <c r="U64" s="81">
        <v>44326</v>
      </c>
      <c r="V64" s="82">
        <v>0.375</v>
      </c>
      <c r="W64" s="77" t="s">
        <v>82</v>
      </c>
      <c r="X64" s="77" t="s">
        <v>83</v>
      </c>
      <c r="Y64" s="77" t="s">
        <v>58</v>
      </c>
      <c r="Z64" s="77" t="s">
        <v>83</v>
      </c>
      <c r="AA64" s="83">
        <v>44337</v>
      </c>
      <c r="AB64" s="77">
        <f t="shared" ca="1" si="4"/>
        <v>11</v>
      </c>
      <c r="AC64" s="84"/>
      <c r="AD64" s="84">
        <v>3</v>
      </c>
      <c r="AE64" s="85">
        <v>2952</v>
      </c>
      <c r="AF64" s="84" t="s">
        <v>330</v>
      </c>
      <c r="AG64" s="84">
        <v>37</v>
      </c>
      <c r="AH64" s="85">
        <v>50940.89</v>
      </c>
      <c r="AI64" s="85">
        <v>77708.929999999964</v>
      </c>
      <c r="AJ64" s="86">
        <f>IF(OR(Processos!$H64="Alienação",Processos!$H64="Concessão"),"",(N64-AI64)-(AE64+AH64))</f>
        <v>10264.400000000038</v>
      </c>
      <c r="AK64" s="87">
        <f t="shared" si="5"/>
        <v>7.2352671411136757E-2</v>
      </c>
      <c r="AL64" s="79" t="s">
        <v>86</v>
      </c>
      <c r="AM64" s="88">
        <v>44244</v>
      </c>
      <c r="AN64" s="89">
        <v>44309</v>
      </c>
      <c r="AO64" s="90">
        <f>IF(Tabela1[[#This Row],[Data de aprovação]]="","",Tabela1[[#This Row],[Data de aprovação]]-Tabela1[[#This Row],[Data de abertura]])</f>
        <v>65</v>
      </c>
      <c r="AP64" s="91"/>
      <c r="AMG64" s="93"/>
      <c r="AMH64" s="93"/>
      <c r="AMI64" s="93"/>
      <c r="AMJ64" s="93"/>
    </row>
    <row r="65" spans="1:1024" s="92" customFormat="1" ht="15" customHeight="1" x14ac:dyDescent="0.15">
      <c r="A65" s="74"/>
      <c r="B65" s="75">
        <v>60</v>
      </c>
      <c r="C65" s="76" t="s">
        <v>331</v>
      </c>
      <c r="D65" s="77" t="s">
        <v>75</v>
      </c>
      <c r="E65" s="77" t="s">
        <v>76</v>
      </c>
      <c r="F65" s="77" t="s">
        <v>332</v>
      </c>
      <c r="G65" s="77" t="s">
        <v>263</v>
      </c>
      <c r="H65" s="77" t="s">
        <v>174</v>
      </c>
      <c r="I65" s="77" t="s">
        <v>333</v>
      </c>
      <c r="J65" s="77" t="s">
        <v>80</v>
      </c>
      <c r="K65" s="78">
        <v>44365</v>
      </c>
      <c r="L65" s="79" t="s">
        <v>125</v>
      </c>
      <c r="M65" s="77" t="s">
        <v>96</v>
      </c>
      <c r="N65" s="80">
        <v>249854.18</v>
      </c>
      <c r="O65" s="77">
        <v>101</v>
      </c>
      <c r="P65" s="77">
        <v>0</v>
      </c>
      <c r="Q65" s="77" t="s">
        <v>82</v>
      </c>
      <c r="R65" s="77" t="s">
        <v>83</v>
      </c>
      <c r="S65" s="77" t="s">
        <v>82</v>
      </c>
      <c r="T65" s="77" t="s">
        <v>83</v>
      </c>
      <c r="U65" s="81">
        <v>44340</v>
      </c>
      <c r="V65" s="82">
        <v>0.60416666666666696</v>
      </c>
      <c r="W65" s="77" t="s">
        <v>84</v>
      </c>
      <c r="X65" s="77" t="s">
        <v>83</v>
      </c>
      <c r="Y65" s="77" t="s">
        <v>334</v>
      </c>
      <c r="Z65" s="77" t="s">
        <v>82</v>
      </c>
      <c r="AA65" s="83">
        <v>44356</v>
      </c>
      <c r="AB65" s="77">
        <f t="shared" ca="1" si="4"/>
        <v>16</v>
      </c>
      <c r="AC65" s="84">
        <v>59</v>
      </c>
      <c r="AD65" s="84">
        <v>4</v>
      </c>
      <c r="AE65" s="85">
        <v>10030.11</v>
      </c>
      <c r="AF65" s="84" t="s">
        <v>330</v>
      </c>
      <c r="AG65" s="84">
        <v>38</v>
      </c>
      <c r="AH65" s="85">
        <v>33150.9</v>
      </c>
      <c r="AI65" s="85">
        <v>173676.81</v>
      </c>
      <c r="AJ65" s="86">
        <f>IF(OR(Processos!$H65="Alienação",Processos!$H65="Concessão"),"",(N65-AI65)-(AE65+AH65))</f>
        <v>32996.359999999993</v>
      </c>
      <c r="AK65" s="87">
        <f t="shared" si="5"/>
        <v>0.13206246939714997</v>
      </c>
      <c r="AL65" s="79" t="s">
        <v>86</v>
      </c>
      <c r="AM65" s="88">
        <v>44244</v>
      </c>
      <c r="AN65" s="89">
        <v>44309</v>
      </c>
      <c r="AO65" s="90">
        <f>IF(Tabela1[[#This Row],[Data de aprovação]]="","",Tabela1[[#This Row],[Data de aprovação]]-Tabela1[[#This Row],[Data de abertura]])</f>
        <v>65</v>
      </c>
      <c r="AP65" s="91"/>
      <c r="AMG65" s="93"/>
      <c r="AMH65" s="93"/>
      <c r="AMI65" s="93"/>
      <c r="AMJ65" s="93"/>
    </row>
    <row r="66" spans="1:1024" s="92" customFormat="1" ht="15" customHeight="1" x14ac:dyDescent="0.15">
      <c r="A66" s="74"/>
      <c r="B66" s="75">
        <v>61</v>
      </c>
      <c r="C66" s="76" t="s">
        <v>335</v>
      </c>
      <c r="D66" s="77" t="s">
        <v>75</v>
      </c>
      <c r="E66" s="77" t="s">
        <v>76</v>
      </c>
      <c r="F66" s="77" t="s">
        <v>336</v>
      </c>
      <c r="G66" s="77" t="s">
        <v>337</v>
      </c>
      <c r="H66" s="77" t="s">
        <v>174</v>
      </c>
      <c r="I66" s="77" t="s">
        <v>338</v>
      </c>
      <c r="J66" s="77" t="s">
        <v>114</v>
      </c>
      <c r="K66" s="78">
        <v>44375</v>
      </c>
      <c r="L66" s="79" t="s">
        <v>125</v>
      </c>
      <c r="M66" s="77" t="s">
        <v>110</v>
      </c>
      <c r="N66" s="80">
        <v>819983.29</v>
      </c>
      <c r="O66" s="77">
        <v>103</v>
      </c>
      <c r="P66" s="77">
        <v>0</v>
      </c>
      <c r="Q66" s="77" t="s">
        <v>82</v>
      </c>
      <c r="R66" s="77" t="s">
        <v>83</v>
      </c>
      <c r="S66" s="77" t="s">
        <v>82</v>
      </c>
      <c r="T66" s="77" t="s">
        <v>83</v>
      </c>
      <c r="U66" s="81">
        <v>44348</v>
      </c>
      <c r="V66" s="82">
        <v>0.375</v>
      </c>
      <c r="W66" s="77" t="s">
        <v>84</v>
      </c>
      <c r="X66" s="77" t="s">
        <v>84</v>
      </c>
      <c r="Y66" s="77" t="s">
        <v>503</v>
      </c>
      <c r="Z66" s="77" t="s">
        <v>84</v>
      </c>
      <c r="AA66" s="83">
        <v>44368</v>
      </c>
      <c r="AB66" s="77">
        <f t="shared" ca="1" si="4"/>
        <v>20</v>
      </c>
      <c r="AC66" s="84">
        <v>70</v>
      </c>
      <c r="AD66" s="84">
        <v>6</v>
      </c>
      <c r="AE66" s="85">
        <v>39822.25</v>
      </c>
      <c r="AF66" s="84" t="s">
        <v>183</v>
      </c>
      <c r="AG66" s="84">
        <v>27</v>
      </c>
      <c r="AH66" s="85">
        <v>237508.61</v>
      </c>
      <c r="AI66" s="85">
        <v>409392.6</v>
      </c>
      <c r="AJ66" s="86">
        <f>IF(OR(Processos!$H66="Alienação",Processos!$H66="Concessão"),"",(N66-AI66)-(AE66+AH66))</f>
        <v>133259.83000000007</v>
      </c>
      <c r="AK66" s="87">
        <f t="shared" si="5"/>
        <v>0.16251529954957991</v>
      </c>
      <c r="AL66" s="79" t="s">
        <v>86</v>
      </c>
      <c r="AM66" s="88">
        <v>44146</v>
      </c>
      <c r="AN66" s="89">
        <v>44316</v>
      </c>
      <c r="AO66" s="90">
        <f>IF(Tabela1[[#This Row],[Data de aprovação]]="","",Tabela1[[#This Row],[Data de aprovação]]-Tabela1[[#This Row],[Data de abertura]])</f>
        <v>170</v>
      </c>
      <c r="AP66" s="91"/>
      <c r="AMG66" s="93"/>
      <c r="AMH66" s="93"/>
      <c r="AMI66" s="93"/>
      <c r="AMJ66" s="93"/>
    </row>
    <row r="67" spans="1:1024" s="92" customFormat="1" ht="15" customHeight="1" x14ac:dyDescent="0.15">
      <c r="A67" s="74"/>
      <c r="B67" s="75">
        <v>62</v>
      </c>
      <c r="C67" s="76" t="s">
        <v>340</v>
      </c>
      <c r="D67" s="77" t="s">
        <v>75</v>
      </c>
      <c r="E67" s="77" t="s">
        <v>76</v>
      </c>
      <c r="F67" s="77" t="s">
        <v>341</v>
      </c>
      <c r="G67" s="77" t="s">
        <v>342</v>
      </c>
      <c r="H67" s="77" t="s">
        <v>59</v>
      </c>
      <c r="I67" s="77" t="s">
        <v>343</v>
      </c>
      <c r="J67" s="77" t="s">
        <v>101</v>
      </c>
      <c r="K67" s="78">
        <v>44321</v>
      </c>
      <c r="L67" s="79" t="s">
        <v>72</v>
      </c>
      <c r="M67" s="77" t="s">
        <v>105</v>
      </c>
      <c r="N67" s="80">
        <v>114042.48</v>
      </c>
      <c r="O67" s="77">
        <v>65</v>
      </c>
      <c r="P67" s="77">
        <v>1</v>
      </c>
      <c r="Q67" s="77"/>
      <c r="R67" s="77"/>
      <c r="S67" s="77"/>
      <c r="T67" s="77"/>
      <c r="U67" s="81"/>
      <c r="V67" s="82"/>
      <c r="W67" s="77"/>
      <c r="X67" s="77"/>
      <c r="Y67" s="77"/>
      <c r="Z67" s="77"/>
      <c r="AA67" s="83"/>
      <c r="AB67" s="77" t="str">
        <f t="shared" ca="1" si="4"/>
        <v/>
      </c>
      <c r="AC67" s="84"/>
      <c r="AD67" s="84"/>
      <c r="AE67" s="85"/>
      <c r="AF67" s="84"/>
      <c r="AG67" s="84"/>
      <c r="AH67" s="85"/>
      <c r="AI67" s="85"/>
      <c r="AJ67" s="86">
        <f>IF(OR(Processos!$H67="Alienação",Processos!$H67="Concessão"),"",(N67-AI67)-(AE67+AH67))</f>
        <v>114042.48</v>
      </c>
      <c r="AK67" s="87">
        <f t="shared" si="5"/>
        <v>1</v>
      </c>
      <c r="AL67" s="79"/>
      <c r="AM67" s="88">
        <v>44301</v>
      </c>
      <c r="AN67" s="89"/>
      <c r="AO67" s="90" t="str">
        <f>IF(Tabela1[[#This Row],[Data de aprovação]]="","",Tabela1[[#This Row],[Data de aprovação]]-Tabela1[[#This Row],[Data de abertura]])</f>
        <v/>
      </c>
      <c r="AP67" s="91"/>
      <c r="AMG67" s="93"/>
      <c r="AMH67" s="93"/>
      <c r="AMI67" s="93"/>
      <c r="AMJ67" s="93"/>
    </row>
    <row r="68" spans="1:1024" s="92" customFormat="1" ht="34.5" customHeight="1" x14ac:dyDescent="0.15">
      <c r="A68" s="74"/>
      <c r="B68" s="75">
        <v>63</v>
      </c>
      <c r="C68" s="76" t="s">
        <v>344</v>
      </c>
      <c r="D68" s="77" t="s">
        <v>75</v>
      </c>
      <c r="E68" s="77" t="s">
        <v>76</v>
      </c>
      <c r="F68" s="245" t="s">
        <v>345</v>
      </c>
      <c r="G68" s="77" t="s">
        <v>346</v>
      </c>
      <c r="H68" s="77" t="s">
        <v>59</v>
      </c>
      <c r="I68" s="244" t="s">
        <v>347</v>
      </c>
      <c r="J68" s="77" t="s">
        <v>137</v>
      </c>
      <c r="K68" s="78">
        <v>44329</v>
      </c>
      <c r="L68" s="79" t="s">
        <v>72</v>
      </c>
      <c r="M68" s="77" t="s">
        <v>110</v>
      </c>
      <c r="N68" s="80">
        <v>104935.92</v>
      </c>
      <c r="O68" s="77">
        <v>3</v>
      </c>
      <c r="P68" s="77">
        <v>2</v>
      </c>
      <c r="Q68" s="77"/>
      <c r="R68" s="77"/>
      <c r="S68" s="77"/>
      <c r="T68" s="77"/>
      <c r="U68" s="81"/>
      <c r="V68" s="82"/>
      <c r="W68" s="77"/>
      <c r="X68" s="77"/>
      <c r="Y68" s="77"/>
      <c r="Z68" s="77"/>
      <c r="AA68" s="83"/>
      <c r="AB68" s="77" t="str">
        <f t="shared" ca="1" si="4"/>
        <v/>
      </c>
      <c r="AC68" s="84"/>
      <c r="AD68" s="84"/>
      <c r="AE68" s="85"/>
      <c r="AF68" s="84"/>
      <c r="AG68" s="84"/>
      <c r="AH68" s="85"/>
      <c r="AI68" s="85"/>
      <c r="AJ68" s="86">
        <f>IF(OR(Processos!$H68="Alienação",Processos!$H68="Concessão"),"",(N68-AI68)-(AE68+AH68))</f>
        <v>104935.92</v>
      </c>
      <c r="AK68" s="87">
        <f t="shared" si="5"/>
        <v>1</v>
      </c>
      <c r="AL68" s="79"/>
      <c r="AM68" s="88">
        <v>44326</v>
      </c>
      <c r="AN68" s="89"/>
      <c r="AO68" s="90" t="str">
        <f>IF(Tabela1[[#This Row],[Data de aprovação]]="","",Tabela1[[#This Row],[Data de aprovação]]-Tabela1[[#This Row],[Data de abertura]])</f>
        <v/>
      </c>
      <c r="AP68" s="91"/>
      <c r="AMG68" s="93"/>
      <c r="AMH68" s="93"/>
      <c r="AMI68" s="93"/>
      <c r="AMJ68" s="93"/>
    </row>
    <row r="69" spans="1:1024" s="92" customFormat="1" ht="15" customHeight="1" x14ac:dyDescent="0.15">
      <c r="A69" s="74"/>
      <c r="B69" s="75">
        <v>64</v>
      </c>
      <c r="C69" s="76" t="s">
        <v>348</v>
      </c>
      <c r="D69" s="77" t="s">
        <v>75</v>
      </c>
      <c r="E69" s="77" t="s">
        <v>76</v>
      </c>
      <c r="F69" s="77" t="s">
        <v>349</v>
      </c>
      <c r="G69" s="77" t="s">
        <v>350</v>
      </c>
      <c r="H69" s="77" t="s">
        <v>174</v>
      </c>
      <c r="I69" s="77" t="s">
        <v>351</v>
      </c>
      <c r="J69" s="77" t="s">
        <v>241</v>
      </c>
      <c r="K69" s="78">
        <v>44370</v>
      </c>
      <c r="L69" s="79" t="s">
        <v>125</v>
      </c>
      <c r="M69" s="77" t="s">
        <v>63</v>
      </c>
      <c r="N69" s="80">
        <v>575000</v>
      </c>
      <c r="O69" s="77">
        <v>4</v>
      </c>
      <c r="P69" s="77">
        <v>1</v>
      </c>
      <c r="Q69" s="77" t="s">
        <v>82</v>
      </c>
      <c r="R69" s="77" t="s">
        <v>83</v>
      </c>
      <c r="S69" s="77" t="s">
        <v>82</v>
      </c>
      <c r="T69" s="77" t="s">
        <v>83</v>
      </c>
      <c r="U69" s="81">
        <v>44354</v>
      </c>
      <c r="V69" s="82">
        <v>0.39583333333333298</v>
      </c>
      <c r="W69" s="77" t="s">
        <v>84</v>
      </c>
      <c r="X69" s="77" t="s">
        <v>82</v>
      </c>
      <c r="Y69" s="77" t="s">
        <v>504</v>
      </c>
      <c r="Z69" s="77" t="s">
        <v>82</v>
      </c>
      <c r="AA69" s="83">
        <v>44368</v>
      </c>
      <c r="AB69" s="77">
        <f t="shared" ca="1" si="4"/>
        <v>14</v>
      </c>
      <c r="AC69" s="84">
        <v>4</v>
      </c>
      <c r="AD69" s="84">
        <v>0</v>
      </c>
      <c r="AE69" s="85"/>
      <c r="AF69" s="84"/>
      <c r="AG69" s="84">
        <v>0</v>
      </c>
      <c r="AH69" s="85"/>
      <c r="AI69" s="85">
        <v>321000</v>
      </c>
      <c r="AJ69" s="86">
        <f>IF(OR(Processos!$H69="Alienação",Processos!$H69="Concessão"),"",(N69-AI69)-(AE69+AH69))</f>
        <v>254000</v>
      </c>
      <c r="AK69" s="87">
        <f t="shared" si="5"/>
        <v>0.44173913043478258</v>
      </c>
      <c r="AL69" s="79" t="s">
        <v>86</v>
      </c>
      <c r="AM69" s="88">
        <v>44320</v>
      </c>
      <c r="AN69" s="89">
        <v>44330</v>
      </c>
      <c r="AO69" s="90">
        <f>IF(Tabela1[[#This Row],[Data de aprovação]]="","",Tabela1[[#This Row],[Data de aprovação]]-Tabela1[[#This Row],[Data de abertura]])</f>
        <v>10</v>
      </c>
      <c r="AP69" s="91"/>
      <c r="AMG69" s="93"/>
      <c r="AMH69" s="93"/>
      <c r="AMI69" s="93"/>
      <c r="AMJ69" s="93"/>
    </row>
    <row r="70" spans="1:1024" s="92" customFormat="1" ht="15" customHeight="1" x14ac:dyDescent="0.15">
      <c r="A70" s="74"/>
      <c r="B70" s="75">
        <v>65</v>
      </c>
      <c r="C70" s="76" t="s">
        <v>352</v>
      </c>
      <c r="D70" s="77" t="s">
        <v>75</v>
      </c>
      <c r="E70" s="77" t="s">
        <v>76</v>
      </c>
      <c r="F70" s="77" t="s">
        <v>353</v>
      </c>
      <c r="G70" s="77" t="s">
        <v>354</v>
      </c>
      <c r="H70" s="77" t="s">
        <v>122</v>
      </c>
      <c r="I70" s="77" t="s">
        <v>355</v>
      </c>
      <c r="J70" s="77" t="s">
        <v>61</v>
      </c>
      <c r="K70" s="78">
        <v>44335</v>
      </c>
      <c r="L70" s="79" t="s">
        <v>72</v>
      </c>
      <c r="M70" s="77" t="s">
        <v>73</v>
      </c>
      <c r="N70" s="80">
        <v>21261744.5</v>
      </c>
      <c r="O70" s="77">
        <v>8</v>
      </c>
      <c r="P70" s="77">
        <v>0</v>
      </c>
      <c r="Q70" s="77"/>
      <c r="R70" s="77"/>
      <c r="S70" s="77"/>
      <c r="T70" s="77"/>
      <c r="U70" s="81"/>
      <c r="V70" s="82"/>
      <c r="W70" s="77"/>
      <c r="X70" s="77"/>
      <c r="Y70" s="77"/>
      <c r="Z70" s="77"/>
      <c r="AA70" s="83"/>
      <c r="AB70" s="77" t="str">
        <f t="shared" ca="1" si="4"/>
        <v/>
      </c>
      <c r="AC70" s="84"/>
      <c r="AD70" s="84"/>
      <c r="AE70" s="85"/>
      <c r="AF70" s="84"/>
      <c r="AG70" s="84"/>
      <c r="AH70" s="85"/>
      <c r="AI70" s="85"/>
      <c r="AJ70" s="86">
        <f>IF(OR(Processos!$H70="Alienação",Processos!$H70="Concessão"),"",(N70-AI70)-(AE70+AH70))</f>
        <v>21261744.5</v>
      </c>
      <c r="AK70" s="87">
        <f t="shared" si="5"/>
        <v>1</v>
      </c>
      <c r="AL70" s="79"/>
      <c r="AM70" s="88">
        <v>44250</v>
      </c>
      <c r="AN70" s="89"/>
      <c r="AO70" s="90" t="str">
        <f>IF(Tabela1[[#This Row],[Data de aprovação]]="","",Tabela1[[#This Row],[Data de aprovação]]-Tabela1[[#This Row],[Data de abertura]])</f>
        <v/>
      </c>
      <c r="AP70" s="91"/>
      <c r="AMG70" s="93"/>
      <c r="AMH70" s="93"/>
      <c r="AMI70" s="93"/>
      <c r="AMJ70" s="93"/>
    </row>
    <row r="71" spans="1:1024" s="92" customFormat="1" ht="15" customHeight="1" x14ac:dyDescent="0.15">
      <c r="A71" s="74"/>
      <c r="B71" s="75">
        <v>66</v>
      </c>
      <c r="C71" s="76" t="s">
        <v>356</v>
      </c>
      <c r="D71" s="77" t="s">
        <v>75</v>
      </c>
      <c r="E71" s="77" t="s">
        <v>76</v>
      </c>
      <c r="F71" s="77" t="s">
        <v>357</v>
      </c>
      <c r="G71" s="77" t="s">
        <v>358</v>
      </c>
      <c r="H71" s="77" t="s">
        <v>174</v>
      </c>
      <c r="I71" s="77" t="s">
        <v>359</v>
      </c>
      <c r="J71" s="77" t="s">
        <v>80</v>
      </c>
      <c r="K71" s="78">
        <v>44340</v>
      </c>
      <c r="L71" s="79" t="s">
        <v>339</v>
      </c>
      <c r="M71" s="77" t="s">
        <v>206</v>
      </c>
      <c r="N71" s="80">
        <v>115558.18</v>
      </c>
      <c r="O71" s="77">
        <v>114</v>
      </c>
      <c r="P71" s="77">
        <v>0</v>
      </c>
      <c r="Q71" s="77" t="s">
        <v>82</v>
      </c>
      <c r="R71" s="77" t="s">
        <v>83</v>
      </c>
      <c r="S71" s="77" t="s">
        <v>82</v>
      </c>
      <c r="T71" s="77" t="s">
        <v>82</v>
      </c>
      <c r="U71" s="81">
        <v>44357</v>
      </c>
      <c r="V71" s="82">
        <v>0.375</v>
      </c>
      <c r="W71" s="77" t="s">
        <v>82</v>
      </c>
      <c r="X71" s="77" t="s">
        <v>83</v>
      </c>
      <c r="Y71" s="77"/>
      <c r="Z71" s="77" t="s">
        <v>82</v>
      </c>
      <c r="AA71" s="83"/>
      <c r="AB71" s="77">
        <f t="shared" ca="1" si="4"/>
        <v>95</v>
      </c>
      <c r="AC71" s="84">
        <v>70</v>
      </c>
      <c r="AD71" s="84"/>
      <c r="AE71" s="85"/>
      <c r="AF71" s="84"/>
      <c r="AG71" s="84">
        <v>44</v>
      </c>
      <c r="AH71" s="85">
        <v>38948.33</v>
      </c>
      <c r="AI71" s="85">
        <v>57499.02</v>
      </c>
      <c r="AJ71" s="86">
        <f>IF(OR(Processos!$H71="Alienação",Processos!$H71="Concessão"),"",(N71-AI71)-(AE71+AH71))</f>
        <v>19110.829999999994</v>
      </c>
      <c r="AK71" s="87">
        <f t="shared" si="5"/>
        <v>0.16537842669380912</v>
      </c>
      <c r="AL71" s="79"/>
      <c r="AM71" s="88">
        <v>44244</v>
      </c>
      <c r="AN71" s="89">
        <v>44336</v>
      </c>
      <c r="AO71" s="90">
        <f>IF(Tabela1[[#This Row],[Data de aprovação]]="","",Tabela1[[#This Row],[Data de aprovação]]-Tabela1[[#This Row],[Data de abertura]])</f>
        <v>92</v>
      </c>
      <c r="AP71" s="91"/>
      <c r="AMG71" s="93"/>
      <c r="AMH71" s="93"/>
      <c r="AMI71" s="93"/>
      <c r="AMJ71" s="93"/>
    </row>
    <row r="72" spans="1:1024" s="92" customFormat="1" ht="15" customHeight="1" x14ac:dyDescent="0.15">
      <c r="A72" s="74"/>
      <c r="B72" s="75">
        <v>67</v>
      </c>
      <c r="C72" s="76" t="s">
        <v>360</v>
      </c>
      <c r="D72" s="77" t="s">
        <v>75</v>
      </c>
      <c r="E72" s="77" t="s">
        <v>76</v>
      </c>
      <c r="F72" s="77" t="s">
        <v>361</v>
      </c>
      <c r="G72" s="77" t="s">
        <v>362</v>
      </c>
      <c r="H72" s="77" t="s">
        <v>174</v>
      </c>
      <c r="I72" s="77" t="s">
        <v>363</v>
      </c>
      <c r="J72" s="77" t="s">
        <v>101</v>
      </c>
      <c r="K72" s="78">
        <v>44340</v>
      </c>
      <c r="L72" s="79" t="s">
        <v>125</v>
      </c>
      <c r="M72" s="77" t="s">
        <v>206</v>
      </c>
      <c r="N72" s="80">
        <v>270043.99</v>
      </c>
      <c r="O72" s="77">
        <v>51</v>
      </c>
      <c r="P72" s="77">
        <v>0</v>
      </c>
      <c r="Q72" s="77" t="s">
        <v>82</v>
      </c>
      <c r="R72" s="77" t="s">
        <v>83</v>
      </c>
      <c r="S72" s="77" t="s">
        <v>82</v>
      </c>
      <c r="T72" s="77" t="s">
        <v>82</v>
      </c>
      <c r="U72" s="81">
        <v>44355</v>
      </c>
      <c r="V72" s="82">
        <v>0.375</v>
      </c>
      <c r="W72" s="77" t="s">
        <v>84</v>
      </c>
      <c r="X72" s="77" t="s">
        <v>82</v>
      </c>
      <c r="Y72" s="77" t="s">
        <v>525</v>
      </c>
      <c r="Z72" s="77" t="s">
        <v>84</v>
      </c>
      <c r="AA72" s="83">
        <v>44372</v>
      </c>
      <c r="AB72" s="77">
        <f t="shared" ca="1" si="4"/>
        <v>17</v>
      </c>
      <c r="AC72" s="84">
        <v>48</v>
      </c>
      <c r="AD72" s="84"/>
      <c r="AE72" s="85"/>
      <c r="AF72" s="84"/>
      <c r="AG72" s="84">
        <v>3</v>
      </c>
      <c r="AH72" s="85">
        <v>3846.4</v>
      </c>
      <c r="AI72" s="85">
        <v>217773.78</v>
      </c>
      <c r="AJ72" s="86">
        <f>IF(OR(Processos!$H72="Alienação",Processos!$H72="Concessão"),"",(N72-AI72)-(AE72+AH72))</f>
        <v>48423.80999999999</v>
      </c>
      <c r="AK72" s="87">
        <f t="shared" si="5"/>
        <v>0.17931822885597268</v>
      </c>
      <c r="AL72" s="79" t="s">
        <v>86</v>
      </c>
      <c r="AM72" s="88">
        <v>44320</v>
      </c>
      <c r="AN72" s="89">
        <v>44336</v>
      </c>
      <c r="AO72" s="90">
        <f>IF(Tabela1[[#This Row],[Data de aprovação]]="","",Tabela1[[#This Row],[Data de aprovação]]-Tabela1[[#This Row],[Data de abertura]])</f>
        <v>16</v>
      </c>
      <c r="AP72" s="91"/>
      <c r="AMG72" s="93"/>
      <c r="AMH72" s="93"/>
      <c r="AMI72" s="93"/>
      <c r="AMJ72" s="93"/>
    </row>
    <row r="73" spans="1:1024" s="92" customFormat="1" ht="15" customHeight="1" x14ac:dyDescent="0.15">
      <c r="A73" s="74"/>
      <c r="B73" s="75">
        <v>68</v>
      </c>
      <c r="C73" s="76" t="s">
        <v>364</v>
      </c>
      <c r="D73" s="77" t="s">
        <v>75</v>
      </c>
      <c r="E73" s="77" t="s">
        <v>76</v>
      </c>
      <c r="F73" s="77" t="s">
        <v>365</v>
      </c>
      <c r="G73" s="77" t="s">
        <v>366</v>
      </c>
      <c r="H73" s="77" t="s">
        <v>59</v>
      </c>
      <c r="I73" s="77" t="s">
        <v>367</v>
      </c>
      <c r="J73" s="77" t="s">
        <v>200</v>
      </c>
      <c r="K73" s="78">
        <v>44447</v>
      </c>
      <c r="L73" s="79" t="s">
        <v>81</v>
      </c>
      <c r="M73" s="77" t="s">
        <v>110</v>
      </c>
      <c r="N73" s="80">
        <v>62103.519999999997</v>
      </c>
      <c r="O73" s="77">
        <v>1</v>
      </c>
      <c r="P73" s="77">
        <v>0</v>
      </c>
      <c r="Q73" s="77" t="s">
        <v>82</v>
      </c>
      <c r="R73" s="77" t="s">
        <v>83</v>
      </c>
      <c r="S73" s="77" t="s">
        <v>82</v>
      </c>
      <c r="T73" s="77" t="s">
        <v>82</v>
      </c>
      <c r="U73" s="81">
        <v>44431</v>
      </c>
      <c r="V73" s="82">
        <v>0.375</v>
      </c>
      <c r="W73" s="77" t="s">
        <v>82</v>
      </c>
      <c r="X73" s="77" t="s">
        <v>83</v>
      </c>
      <c r="Y73" s="77" t="s">
        <v>58</v>
      </c>
      <c r="Z73" s="77" t="s">
        <v>82</v>
      </c>
      <c r="AA73" s="83">
        <v>44442</v>
      </c>
      <c r="AB73" s="77"/>
      <c r="AC73" s="84"/>
      <c r="AD73" s="84">
        <v>0</v>
      </c>
      <c r="AE73" s="85">
        <v>0</v>
      </c>
      <c r="AF73" s="84" t="s">
        <v>58</v>
      </c>
      <c r="AG73" s="84">
        <v>0</v>
      </c>
      <c r="AH73" s="85">
        <v>0</v>
      </c>
      <c r="AI73" s="85">
        <v>42822.48</v>
      </c>
      <c r="AJ73" s="86">
        <f>IF(OR(Processos!$H73="Alienação",Processos!$H73="Concessão"),"",(N73-AI73)-(AE73+AH73))</f>
        <v>19281.039999999994</v>
      </c>
      <c r="AK73" s="87">
        <f t="shared" si="5"/>
        <v>0.31046613782922439</v>
      </c>
      <c r="AL73" s="79" t="s">
        <v>86</v>
      </c>
      <c r="AM73" s="88">
        <v>44328</v>
      </c>
      <c r="AN73" s="89">
        <v>44418</v>
      </c>
      <c r="AO73" s="90">
        <f>IF(Tabela1[[#This Row],[Data de aprovação]]="","",Tabela1[[#This Row],[Data de aprovação]]-Tabela1[[#This Row],[Data de abertura]])</f>
        <v>90</v>
      </c>
      <c r="AP73" s="91"/>
      <c r="AMG73" s="93"/>
      <c r="AMH73" s="93"/>
      <c r="AMI73" s="93"/>
      <c r="AMJ73" s="93"/>
    </row>
    <row r="74" spans="1:1024" s="92" customFormat="1" ht="15" customHeight="1" x14ac:dyDescent="0.15">
      <c r="A74" s="74"/>
      <c r="B74" s="75">
        <v>69</v>
      </c>
      <c r="C74" s="76" t="s">
        <v>368</v>
      </c>
      <c r="D74" s="77" t="s">
        <v>75</v>
      </c>
      <c r="E74" s="77" t="s">
        <v>76</v>
      </c>
      <c r="F74" s="77" t="s">
        <v>369</v>
      </c>
      <c r="G74" s="77" t="s">
        <v>370</v>
      </c>
      <c r="H74" s="77" t="s">
        <v>59</v>
      </c>
      <c r="I74" s="77" t="s">
        <v>371</v>
      </c>
      <c r="J74" s="77" t="s">
        <v>137</v>
      </c>
      <c r="K74" s="78">
        <v>44407</v>
      </c>
      <c r="L74" s="79" t="s">
        <v>72</v>
      </c>
      <c r="M74" s="77" t="s">
        <v>96</v>
      </c>
      <c r="N74" s="80">
        <v>14838434.6</v>
      </c>
      <c r="O74" s="77">
        <v>2</v>
      </c>
      <c r="P74" s="77">
        <v>0</v>
      </c>
      <c r="Q74" s="77"/>
      <c r="R74" s="77"/>
      <c r="S74" s="77"/>
      <c r="T74" s="77"/>
      <c r="U74" s="81"/>
      <c r="V74" s="82"/>
      <c r="W74" s="77"/>
      <c r="X74" s="77"/>
      <c r="Y74" s="77"/>
      <c r="Z74" s="77"/>
      <c r="AA74" s="83"/>
      <c r="AB74" s="77" t="str">
        <f t="shared" ref="AB74:AB104" ca="1" si="6">IF(U74="","",IF(AA74="",TODAY()-U74,IF(AA74-U74,AA74-U74,0)))</f>
        <v/>
      </c>
      <c r="AC74" s="84"/>
      <c r="AD74" s="84"/>
      <c r="AE74" s="85"/>
      <c r="AF74" s="84"/>
      <c r="AG74" s="84"/>
      <c r="AH74" s="85"/>
      <c r="AI74" s="85"/>
      <c r="AJ74" s="86">
        <f>IF(OR(Processos!$H74="Alienação",Processos!$H74="Concessão"),"",(N74-AI74)-(AE74+AH74))</f>
        <v>14838434.6</v>
      </c>
      <c r="AK74" s="87">
        <f t="shared" ref="AK74:AK104" si="7">IF(ISERROR((AJ74*100)/N74/100),"",(AJ74*100)/N74/100)</f>
        <v>1</v>
      </c>
      <c r="AL74" s="79"/>
      <c r="AM74" s="88">
        <v>44334</v>
      </c>
      <c r="AN74" s="89"/>
      <c r="AO74" s="90" t="str">
        <f>IF(Tabela1[[#This Row],[Data de aprovação]]="","",Tabela1[[#This Row],[Data de aprovação]]-Tabela1[[#This Row],[Data de abertura]])</f>
        <v/>
      </c>
      <c r="AP74" s="91"/>
      <c r="AMG74" s="93"/>
      <c r="AMH74" s="93"/>
      <c r="AMI74" s="93"/>
      <c r="AMJ74" s="93"/>
    </row>
    <row r="75" spans="1:1024" s="92" customFormat="1" ht="15" customHeight="1" x14ac:dyDescent="0.15">
      <c r="A75" s="74"/>
      <c r="B75" s="75">
        <v>70</v>
      </c>
      <c r="C75" s="76" t="s">
        <v>372</v>
      </c>
      <c r="D75" s="77" t="s">
        <v>75</v>
      </c>
      <c r="E75" s="77" t="s">
        <v>76</v>
      </c>
      <c r="F75" s="77" t="s">
        <v>373</v>
      </c>
      <c r="G75" s="77" t="s">
        <v>374</v>
      </c>
      <c r="H75" s="77" t="s">
        <v>122</v>
      </c>
      <c r="I75" s="77" t="s">
        <v>375</v>
      </c>
      <c r="J75" s="77" t="s">
        <v>137</v>
      </c>
      <c r="K75" s="78">
        <v>44396</v>
      </c>
      <c r="L75" s="79" t="s">
        <v>125</v>
      </c>
      <c r="M75" s="77" t="s">
        <v>63</v>
      </c>
      <c r="N75" s="80">
        <v>82482.25999999998</v>
      </c>
      <c r="O75" s="77">
        <v>4</v>
      </c>
      <c r="P75" s="77">
        <v>0</v>
      </c>
      <c r="Q75" s="77" t="s">
        <v>82</v>
      </c>
      <c r="R75" s="77" t="s">
        <v>83</v>
      </c>
      <c r="S75" s="77" t="s">
        <v>82</v>
      </c>
      <c r="T75" s="77" t="s">
        <v>83</v>
      </c>
      <c r="U75" s="81">
        <v>44372</v>
      </c>
      <c r="V75" s="82">
        <v>0.41666666666666713</v>
      </c>
      <c r="W75" s="77" t="s">
        <v>84</v>
      </c>
      <c r="X75" s="77" t="s">
        <v>84</v>
      </c>
      <c r="Y75" s="77" t="s">
        <v>524</v>
      </c>
      <c r="Z75" s="77" t="s">
        <v>84</v>
      </c>
      <c r="AA75" s="83">
        <v>44377</v>
      </c>
      <c r="AB75" s="77">
        <f t="shared" ca="1" si="6"/>
        <v>5</v>
      </c>
      <c r="AC75" s="84">
        <v>4</v>
      </c>
      <c r="AD75" s="84">
        <v>0</v>
      </c>
      <c r="AE75" s="85">
        <v>0</v>
      </c>
      <c r="AF75" s="84"/>
      <c r="AG75" s="84">
        <v>0</v>
      </c>
      <c r="AH75" s="85">
        <v>0</v>
      </c>
      <c r="AI75" s="85">
        <v>52772.3</v>
      </c>
      <c r="AJ75" s="86">
        <f>IF(OR(Processos!$H75="Alienação",Processos!$H75="Concessão"),"",(N75-AI75)-(AE75+AH75))</f>
        <v>29709.959999999977</v>
      </c>
      <c r="AK75" s="87">
        <f t="shared" si="7"/>
        <v>0.36019818079669474</v>
      </c>
      <c r="AL75" s="79" t="s">
        <v>86</v>
      </c>
      <c r="AM75" s="88">
        <v>44291</v>
      </c>
      <c r="AN75" s="89">
        <v>44355</v>
      </c>
      <c r="AO75" s="90">
        <f>IF(Tabela1[[#This Row],[Data de aprovação]]="","",Tabela1[[#This Row],[Data de aprovação]]-Tabela1[[#This Row],[Data de abertura]])</f>
        <v>64</v>
      </c>
      <c r="AP75" s="91"/>
      <c r="AMG75" s="93"/>
      <c r="AMH75" s="93"/>
      <c r="AMI75" s="93"/>
      <c r="AMJ75" s="93"/>
    </row>
    <row r="76" spans="1:1024" s="92" customFormat="1" ht="15" customHeight="1" x14ac:dyDescent="0.15">
      <c r="A76" s="74">
        <v>71</v>
      </c>
      <c r="B76" s="75">
        <v>71</v>
      </c>
      <c r="C76" s="76" t="s">
        <v>376</v>
      </c>
      <c r="D76" s="77" t="s">
        <v>75</v>
      </c>
      <c r="E76" s="77" t="s">
        <v>76</v>
      </c>
      <c r="F76" s="77" t="s">
        <v>377</v>
      </c>
      <c r="G76" s="77" t="s">
        <v>378</v>
      </c>
      <c r="H76" s="77" t="s">
        <v>174</v>
      </c>
      <c r="I76" s="77" t="s">
        <v>379</v>
      </c>
      <c r="J76" s="77" t="s">
        <v>245</v>
      </c>
      <c r="K76" s="78">
        <v>44392</v>
      </c>
      <c r="L76" s="79" t="s">
        <v>125</v>
      </c>
      <c r="M76" s="77" t="s">
        <v>73</v>
      </c>
      <c r="N76" s="80">
        <v>1589790.75</v>
      </c>
      <c r="O76" s="77">
        <v>29</v>
      </c>
      <c r="P76" s="77">
        <v>0</v>
      </c>
      <c r="Q76" s="77" t="s">
        <v>82</v>
      </c>
      <c r="R76" s="77" t="s">
        <v>83</v>
      </c>
      <c r="S76" s="77" t="s">
        <v>82</v>
      </c>
      <c r="T76" s="77" t="s">
        <v>83</v>
      </c>
      <c r="U76" s="81">
        <v>44384</v>
      </c>
      <c r="V76" s="82">
        <v>0.375</v>
      </c>
      <c r="W76" s="77" t="s">
        <v>82</v>
      </c>
      <c r="X76" s="77" t="s">
        <v>83</v>
      </c>
      <c r="Y76" s="77" t="s">
        <v>58</v>
      </c>
      <c r="Z76" s="77" t="s">
        <v>83</v>
      </c>
      <c r="AA76" s="83">
        <v>44390</v>
      </c>
      <c r="AB76" s="77">
        <f t="shared" ca="1" si="6"/>
        <v>6</v>
      </c>
      <c r="AC76" s="84">
        <v>24</v>
      </c>
      <c r="AD76" s="84">
        <v>19</v>
      </c>
      <c r="AE76" s="85">
        <v>490016.15</v>
      </c>
      <c r="AF76" s="84" t="s">
        <v>523</v>
      </c>
      <c r="AG76" s="84">
        <v>3</v>
      </c>
      <c r="AH76" s="85">
        <v>111925</v>
      </c>
      <c r="AI76" s="85">
        <v>744956.2</v>
      </c>
      <c r="AJ76" s="86">
        <f>IF(OR(Processos!$H76="Alienação",Processos!$H76="Concessão"),"",(N76-AI76)-(AE76+AH76))</f>
        <v>242893.40000000002</v>
      </c>
      <c r="AK76" s="87">
        <f t="shared" si="7"/>
        <v>0.15278325150652691</v>
      </c>
      <c r="AL76" s="79" t="s">
        <v>86</v>
      </c>
      <c r="AM76" s="88">
        <v>44349</v>
      </c>
      <c r="AN76" s="89">
        <v>44368</v>
      </c>
      <c r="AO76" s="90">
        <f>IF(Tabela1[[#This Row],[Data de aprovação]]="","",Tabela1[[#This Row],[Data de aprovação]]-Tabela1[[#This Row],[Data de abertura]])</f>
        <v>19</v>
      </c>
      <c r="AP76" s="91"/>
      <c r="AMG76" s="93"/>
      <c r="AMH76" s="93"/>
      <c r="AMI76" s="93"/>
      <c r="AMJ76" s="93"/>
    </row>
    <row r="77" spans="1:1024" s="92" customFormat="1" ht="15" customHeight="1" x14ac:dyDescent="0.15">
      <c r="A77" s="74"/>
      <c r="B77" s="75">
        <v>72</v>
      </c>
      <c r="C77" s="76" t="s">
        <v>380</v>
      </c>
      <c r="D77" s="77" t="s">
        <v>75</v>
      </c>
      <c r="E77" s="77" t="s">
        <v>76</v>
      </c>
      <c r="F77" s="77" t="s">
        <v>381</v>
      </c>
      <c r="G77" s="77" t="s">
        <v>382</v>
      </c>
      <c r="H77" s="77" t="s">
        <v>174</v>
      </c>
      <c r="I77" s="77" t="s">
        <v>383</v>
      </c>
      <c r="J77" s="77" t="s">
        <v>90</v>
      </c>
      <c r="K77" s="78">
        <v>44407</v>
      </c>
      <c r="L77" s="79" t="s">
        <v>125</v>
      </c>
      <c r="M77" s="77" t="s">
        <v>105</v>
      </c>
      <c r="N77" s="80">
        <v>135021.69</v>
      </c>
      <c r="O77" s="77">
        <v>10</v>
      </c>
      <c r="P77" s="77">
        <v>0</v>
      </c>
      <c r="Q77" s="77" t="s">
        <v>82</v>
      </c>
      <c r="R77" s="77" t="s">
        <v>83</v>
      </c>
      <c r="S77" s="77" t="s">
        <v>82</v>
      </c>
      <c r="T77" s="77" t="s">
        <v>83</v>
      </c>
      <c r="U77" s="81">
        <v>44385</v>
      </c>
      <c r="V77" s="82">
        <v>0.35416666666666702</v>
      </c>
      <c r="W77" s="77" t="s">
        <v>84</v>
      </c>
      <c r="X77" s="77" t="s">
        <v>82</v>
      </c>
      <c r="Y77" s="77" t="s">
        <v>549</v>
      </c>
      <c r="Z77" s="77" t="s">
        <v>82</v>
      </c>
      <c r="AA77" s="83">
        <v>44399</v>
      </c>
      <c r="AB77" s="77">
        <f t="shared" ca="1" si="6"/>
        <v>14</v>
      </c>
      <c r="AC77" s="84">
        <v>7</v>
      </c>
      <c r="AD77" s="84">
        <v>2</v>
      </c>
      <c r="AE77" s="85">
        <v>96472.3</v>
      </c>
      <c r="AF77" s="84" t="s">
        <v>550</v>
      </c>
      <c r="AG77" s="84">
        <v>1</v>
      </c>
      <c r="AH77" s="85">
        <v>618</v>
      </c>
      <c r="AI77" s="85">
        <v>28062.79</v>
      </c>
      <c r="AJ77" s="86">
        <f>IF(OR(Processos!$H77="Alienação",Processos!$H77="Concessão"),"",(N77-AI77)-(AE77+AH77))</f>
        <v>9868.5999999999913</v>
      </c>
      <c r="AK77" s="87">
        <f t="shared" si="7"/>
        <v>7.3088997775098141E-2</v>
      </c>
      <c r="AL77" s="79" t="s">
        <v>86</v>
      </c>
      <c r="AM77" s="88">
        <v>44291</v>
      </c>
      <c r="AN77" s="89">
        <v>44368</v>
      </c>
      <c r="AO77" s="90">
        <f>IF(Tabela1[[#This Row],[Data de aprovação]]="","",Tabela1[[#This Row],[Data de aprovação]]-Tabela1[[#This Row],[Data de abertura]])</f>
        <v>77</v>
      </c>
      <c r="AP77" s="91"/>
      <c r="AMG77" s="93"/>
      <c r="AMH77" s="93"/>
      <c r="AMI77" s="93"/>
      <c r="AMJ77" s="93"/>
    </row>
    <row r="78" spans="1:1024" s="92" customFormat="1" ht="15" customHeight="1" x14ac:dyDescent="0.15">
      <c r="A78" s="74"/>
      <c r="B78" s="75">
        <v>73</v>
      </c>
      <c r="C78" s="76" t="s">
        <v>384</v>
      </c>
      <c r="D78" s="77" t="s">
        <v>75</v>
      </c>
      <c r="E78" s="77" t="s">
        <v>56</v>
      </c>
      <c r="F78" s="77" t="s">
        <v>502</v>
      </c>
      <c r="G78" s="77" t="s">
        <v>58</v>
      </c>
      <c r="H78" s="77" t="s">
        <v>122</v>
      </c>
      <c r="I78" s="77" t="s">
        <v>385</v>
      </c>
      <c r="J78" s="77" t="s">
        <v>90</v>
      </c>
      <c r="K78" s="78">
        <v>44448</v>
      </c>
      <c r="L78" s="79" t="s">
        <v>459</v>
      </c>
      <c r="M78" s="77" t="s">
        <v>96</v>
      </c>
      <c r="N78" s="80">
        <v>127666.67</v>
      </c>
      <c r="O78" s="77">
        <v>1</v>
      </c>
      <c r="P78" s="77">
        <v>0</v>
      </c>
      <c r="Q78" s="77" t="s">
        <v>82</v>
      </c>
      <c r="R78" s="77" t="s">
        <v>83</v>
      </c>
      <c r="S78" s="77" t="s">
        <v>82</v>
      </c>
      <c r="T78" s="77" t="s">
        <v>83</v>
      </c>
      <c r="U78" s="81">
        <v>44440</v>
      </c>
      <c r="V78" s="82">
        <v>0.41666666666666713</v>
      </c>
      <c r="W78" s="77" t="s">
        <v>82</v>
      </c>
      <c r="X78" s="77" t="s">
        <v>83</v>
      </c>
      <c r="Y78" s="77" t="s">
        <v>58</v>
      </c>
      <c r="Z78" s="77" t="s">
        <v>83</v>
      </c>
      <c r="AA78" s="83">
        <v>44446</v>
      </c>
      <c r="AB78" s="77">
        <f t="shared" ca="1" si="6"/>
        <v>6</v>
      </c>
      <c r="AC78" s="84">
        <v>1</v>
      </c>
      <c r="AD78" s="84">
        <v>0</v>
      </c>
      <c r="AE78" s="85">
        <v>0</v>
      </c>
      <c r="AF78" s="84" t="s">
        <v>58</v>
      </c>
      <c r="AG78" s="84">
        <v>0</v>
      </c>
      <c r="AH78" s="85">
        <v>0</v>
      </c>
      <c r="AI78" s="85">
        <v>72192.39</v>
      </c>
      <c r="AJ78" s="86">
        <f>IF(OR(Processos!$H78="Alienação",Processos!$H78="Concessão"),"",(N78-AI78)-(AE78+AH78))</f>
        <v>55474.28</v>
      </c>
      <c r="AK78" s="87">
        <f t="shared" si="7"/>
        <v>0.43452437507769254</v>
      </c>
      <c r="AL78" s="79" t="s">
        <v>86</v>
      </c>
      <c r="AM78" s="88">
        <v>44294</v>
      </c>
      <c r="AN78" s="89">
        <v>44425</v>
      </c>
      <c r="AO78" s="90">
        <f>IF(Tabela1[[#This Row],[Data de aprovação]]="","",Tabela1[[#This Row],[Data de aprovação]]-Tabela1[[#This Row],[Data de abertura]])</f>
        <v>131</v>
      </c>
      <c r="AP78" s="91"/>
      <c r="AMG78" s="93"/>
      <c r="AMH78" s="93"/>
      <c r="AMI78" s="93"/>
      <c r="AMJ78" s="93"/>
    </row>
    <row r="79" spans="1:1024" s="92" customFormat="1" ht="15" customHeight="1" x14ac:dyDescent="0.15">
      <c r="A79" s="74"/>
      <c r="B79" s="75">
        <v>74</v>
      </c>
      <c r="C79" s="76" t="s">
        <v>505</v>
      </c>
      <c r="D79" s="77" t="s">
        <v>75</v>
      </c>
      <c r="E79" s="77" t="s">
        <v>76</v>
      </c>
      <c r="F79" s="77" t="s">
        <v>508</v>
      </c>
      <c r="G79" s="77" t="s">
        <v>510</v>
      </c>
      <c r="H79" s="77" t="s">
        <v>59</v>
      </c>
      <c r="I79" s="77" t="s">
        <v>619</v>
      </c>
      <c r="J79" s="77" t="s">
        <v>124</v>
      </c>
      <c r="K79" s="78">
        <v>44441</v>
      </c>
      <c r="L79" s="79" t="s">
        <v>72</v>
      </c>
      <c r="M79" s="77" t="s">
        <v>105</v>
      </c>
      <c r="N79" s="80">
        <v>231926.16</v>
      </c>
      <c r="O79" s="77">
        <v>4</v>
      </c>
      <c r="P79" s="77">
        <v>1</v>
      </c>
      <c r="Q79" s="77"/>
      <c r="R79" s="77"/>
      <c r="S79" s="77"/>
      <c r="T79" s="77"/>
      <c r="U79" s="81"/>
      <c r="V79" s="82"/>
      <c r="W79" s="77"/>
      <c r="X79" s="77"/>
      <c r="Y79" s="77"/>
      <c r="Z79" s="77"/>
      <c r="AA79" s="83"/>
      <c r="AB79" s="77" t="str">
        <f t="shared" ca="1" si="6"/>
        <v/>
      </c>
      <c r="AC79" s="84"/>
      <c r="AD79" s="84"/>
      <c r="AE79" s="85"/>
      <c r="AF79" s="84"/>
      <c r="AG79" s="84"/>
      <c r="AH79" s="85"/>
      <c r="AI79" s="85"/>
      <c r="AJ79" s="86">
        <f>IF(OR(Processos!$H79="Alienação",Processos!$H79="Concessão"),"",(N79-AI79)-(AE79+AH79))</f>
        <v>231926.16</v>
      </c>
      <c r="AK79" s="87">
        <f t="shared" si="7"/>
        <v>1</v>
      </c>
      <c r="AL79" s="79"/>
      <c r="AM79" s="88">
        <v>44277</v>
      </c>
      <c r="AN79" s="89"/>
      <c r="AO79" s="90" t="str">
        <f>IF(Tabela1[[#This Row],[Data de aprovação]]="","",Tabela1[[#This Row],[Data de aprovação]]-Tabela1[[#This Row],[Data de abertura]])</f>
        <v/>
      </c>
      <c r="AP79" s="91"/>
      <c r="AMG79" s="93"/>
      <c r="AMH79" s="93"/>
      <c r="AMI79" s="93"/>
      <c r="AMJ79" s="93"/>
    </row>
    <row r="80" spans="1:1024" s="92" customFormat="1" ht="15" customHeight="1" x14ac:dyDescent="0.15">
      <c r="A80" s="74"/>
      <c r="B80" s="75">
        <v>75</v>
      </c>
      <c r="C80" s="76" t="s">
        <v>506</v>
      </c>
      <c r="D80" s="77" t="s">
        <v>75</v>
      </c>
      <c r="E80" s="77" t="s">
        <v>76</v>
      </c>
      <c r="F80" s="77" t="s">
        <v>509</v>
      </c>
      <c r="G80" s="77" t="s">
        <v>511</v>
      </c>
      <c r="H80" s="77" t="s">
        <v>59</v>
      </c>
      <c r="I80" s="77" t="s">
        <v>507</v>
      </c>
      <c r="J80" s="77" t="s">
        <v>114</v>
      </c>
      <c r="K80" s="78">
        <v>44383</v>
      </c>
      <c r="L80" s="79" t="s">
        <v>72</v>
      </c>
      <c r="M80" s="77" t="s">
        <v>110</v>
      </c>
      <c r="N80" s="80">
        <v>444908.7</v>
      </c>
      <c r="O80" s="77">
        <v>34</v>
      </c>
      <c r="P80" s="77">
        <v>1</v>
      </c>
      <c r="Q80" s="77"/>
      <c r="R80" s="77"/>
      <c r="S80" s="77"/>
      <c r="T80" s="77"/>
      <c r="U80" s="81"/>
      <c r="V80" s="82"/>
      <c r="W80" s="77"/>
      <c r="X80" s="77"/>
      <c r="Y80" s="77"/>
      <c r="Z80" s="77"/>
      <c r="AA80" s="83"/>
      <c r="AB80" s="77" t="str">
        <f t="shared" ca="1" si="6"/>
        <v/>
      </c>
      <c r="AC80" s="84"/>
      <c r="AD80" s="84"/>
      <c r="AE80" s="85"/>
      <c r="AF80" s="84"/>
      <c r="AG80" s="84"/>
      <c r="AH80" s="85"/>
      <c r="AI80" s="85"/>
      <c r="AJ80" s="86">
        <f>IF(OR(Processos!$H80="Alienação",Processos!$H80="Concessão"),"",(N80-AI80)-(AE80+AH80))</f>
        <v>444908.7</v>
      </c>
      <c r="AK80" s="87">
        <f t="shared" si="7"/>
        <v>1</v>
      </c>
      <c r="AL80" s="79"/>
      <c r="AM80" s="88">
        <v>44371</v>
      </c>
      <c r="AN80" s="89"/>
      <c r="AO80" s="90" t="str">
        <f>IF(Tabela1[[#This Row],[Data de aprovação]]="","",Tabela1[[#This Row],[Data de aprovação]]-Tabela1[[#This Row],[Data de abertura]])</f>
        <v/>
      </c>
      <c r="AP80" s="91"/>
      <c r="AMG80" s="93"/>
      <c r="AMH80" s="93"/>
      <c r="AMI80" s="93"/>
      <c r="AMJ80" s="93"/>
    </row>
    <row r="81" spans="1:1024" s="92" customFormat="1" ht="15" customHeight="1" x14ac:dyDescent="0.15">
      <c r="A81" s="74"/>
      <c r="B81" s="75">
        <v>76</v>
      </c>
      <c r="C81" s="76" t="s">
        <v>512</v>
      </c>
      <c r="D81" s="77" t="s">
        <v>75</v>
      </c>
      <c r="E81" s="77" t="s">
        <v>76</v>
      </c>
      <c r="F81" s="77" t="s">
        <v>517</v>
      </c>
      <c r="G81" s="77" t="s">
        <v>520</v>
      </c>
      <c r="H81" s="77" t="s">
        <v>174</v>
      </c>
      <c r="I81" s="77" t="s">
        <v>248</v>
      </c>
      <c r="J81" s="77" t="s">
        <v>245</v>
      </c>
      <c r="K81" s="78">
        <v>44435</v>
      </c>
      <c r="L81" s="79" t="s">
        <v>125</v>
      </c>
      <c r="M81" s="77" t="s">
        <v>63</v>
      </c>
      <c r="N81" s="80">
        <v>15436020</v>
      </c>
      <c r="O81" s="77">
        <v>25</v>
      </c>
      <c r="P81" s="77">
        <v>0</v>
      </c>
      <c r="Q81" s="77" t="s">
        <v>82</v>
      </c>
      <c r="R81" s="77" t="s">
        <v>83</v>
      </c>
      <c r="S81" s="77" t="s">
        <v>82</v>
      </c>
      <c r="T81" s="77" t="s">
        <v>83</v>
      </c>
      <c r="U81" s="81">
        <v>44406</v>
      </c>
      <c r="V81" s="82">
        <v>0.41666666666666713</v>
      </c>
      <c r="W81" s="77" t="s">
        <v>84</v>
      </c>
      <c r="X81" s="77" t="s">
        <v>82</v>
      </c>
      <c r="Y81" s="77" t="s">
        <v>504</v>
      </c>
      <c r="Z81" s="77" t="s">
        <v>82</v>
      </c>
      <c r="AA81" s="83">
        <v>44419</v>
      </c>
      <c r="AB81" s="77">
        <f t="shared" ca="1" si="6"/>
        <v>13</v>
      </c>
      <c r="AC81" s="84">
        <v>24</v>
      </c>
      <c r="AD81" s="84">
        <v>1</v>
      </c>
      <c r="AE81" s="85">
        <v>2267800</v>
      </c>
      <c r="AF81" s="84" t="s">
        <v>183</v>
      </c>
      <c r="AG81" s="84">
        <v>0</v>
      </c>
      <c r="AH81" s="85">
        <v>0</v>
      </c>
      <c r="AI81" s="85">
        <v>11792630</v>
      </c>
      <c r="AJ81" s="86">
        <f>IF(OR(Processos!$H81="Alienação",Processos!$H81="Concessão"),"",(N81-AI81)-(AE81+AH81))</f>
        <v>1375590</v>
      </c>
      <c r="AK81" s="87">
        <f t="shared" si="7"/>
        <v>8.9115588085529829E-2</v>
      </c>
      <c r="AL81" s="79" t="s">
        <v>86</v>
      </c>
      <c r="AM81" s="88">
        <v>44369</v>
      </c>
      <c r="AN81" s="89">
        <v>44386</v>
      </c>
      <c r="AO81" s="90">
        <f>IF(Tabela1[[#This Row],[Data de aprovação]]="","",Tabela1[[#This Row],[Data de aprovação]]-Tabela1[[#This Row],[Data de abertura]])</f>
        <v>17</v>
      </c>
      <c r="AP81" s="91"/>
      <c r="AMG81" s="93"/>
      <c r="AMH81" s="93"/>
      <c r="AMI81" s="93"/>
      <c r="AMJ81" s="93"/>
    </row>
    <row r="82" spans="1:1024" s="92" customFormat="1" ht="15" customHeight="1" x14ac:dyDescent="0.15">
      <c r="A82" s="74"/>
      <c r="B82" s="75">
        <v>77</v>
      </c>
      <c r="C82" s="76" t="s">
        <v>513</v>
      </c>
      <c r="D82" s="77" t="s">
        <v>75</v>
      </c>
      <c r="E82" s="77" t="s">
        <v>76</v>
      </c>
      <c r="F82" s="77" t="s">
        <v>518</v>
      </c>
      <c r="G82" s="77" t="s">
        <v>521</v>
      </c>
      <c r="H82" s="77" t="s">
        <v>174</v>
      </c>
      <c r="I82" s="77" t="s">
        <v>514</v>
      </c>
      <c r="J82" s="77" t="s">
        <v>101</v>
      </c>
      <c r="K82" s="78">
        <v>44417</v>
      </c>
      <c r="L82" s="79" t="s">
        <v>125</v>
      </c>
      <c r="M82" s="77" t="s">
        <v>73</v>
      </c>
      <c r="N82" s="80">
        <v>101340.89</v>
      </c>
      <c r="O82" s="77">
        <v>30</v>
      </c>
      <c r="P82" s="77">
        <v>1</v>
      </c>
      <c r="Q82" s="77" t="s">
        <v>82</v>
      </c>
      <c r="R82" s="77" t="s">
        <v>83</v>
      </c>
      <c r="S82" s="77" t="s">
        <v>82</v>
      </c>
      <c r="T82" s="77" t="s">
        <v>83</v>
      </c>
      <c r="U82" s="81">
        <v>44405</v>
      </c>
      <c r="V82" s="82">
        <v>0.375</v>
      </c>
      <c r="W82" s="77" t="s">
        <v>82</v>
      </c>
      <c r="X82" s="77" t="s">
        <v>83</v>
      </c>
      <c r="Y82" s="77" t="s">
        <v>58</v>
      </c>
      <c r="Z82" s="77" t="s">
        <v>83</v>
      </c>
      <c r="AA82" s="83">
        <v>44413</v>
      </c>
      <c r="AB82" s="77">
        <f t="shared" ca="1" si="6"/>
        <v>8</v>
      </c>
      <c r="AC82" s="84">
        <v>24</v>
      </c>
      <c r="AD82" s="84">
        <v>6</v>
      </c>
      <c r="AE82" s="85">
        <v>29747.8</v>
      </c>
      <c r="AF82" s="84" t="s">
        <v>571</v>
      </c>
      <c r="AG82" s="84">
        <v>0</v>
      </c>
      <c r="AH82" s="85">
        <v>0</v>
      </c>
      <c r="AI82" s="85">
        <v>69135.08</v>
      </c>
      <c r="AJ82" s="86">
        <f>IF(OR(Processos!$H82="Alienação",Processos!$H82="Concessão"),"",(N82-AI82)-(AE82+AH82))</f>
        <v>2458.0099999999984</v>
      </c>
      <c r="AK82" s="87">
        <f t="shared" si="7"/>
        <v>2.4254868888560169E-2</v>
      </c>
      <c r="AL82" s="79" t="s">
        <v>86</v>
      </c>
      <c r="AM82" s="88">
        <v>44368</v>
      </c>
      <c r="AN82" s="89">
        <v>44386</v>
      </c>
      <c r="AO82" s="90">
        <f>IF(Tabela1[[#This Row],[Data de aprovação]]="","",Tabela1[[#This Row],[Data de aprovação]]-Tabela1[[#This Row],[Data de abertura]])</f>
        <v>18</v>
      </c>
      <c r="AP82" s="91"/>
      <c r="AMG82" s="93"/>
      <c r="AMH82" s="93"/>
      <c r="AMI82" s="93"/>
      <c r="AMJ82" s="93"/>
    </row>
    <row r="83" spans="1:1024" s="92" customFormat="1" ht="15" customHeight="1" x14ac:dyDescent="0.15">
      <c r="A83" s="74"/>
      <c r="B83" s="75">
        <v>78</v>
      </c>
      <c r="C83" s="76" t="s">
        <v>515</v>
      </c>
      <c r="D83" s="77" t="s">
        <v>75</v>
      </c>
      <c r="E83" s="77" t="s">
        <v>76</v>
      </c>
      <c r="F83" s="77" t="s">
        <v>519</v>
      </c>
      <c r="G83" s="77" t="s">
        <v>522</v>
      </c>
      <c r="H83" s="77" t="s">
        <v>122</v>
      </c>
      <c r="I83" s="77" t="s">
        <v>516</v>
      </c>
      <c r="J83" s="77" t="s">
        <v>124</v>
      </c>
      <c r="K83" s="78">
        <v>44389</v>
      </c>
      <c r="L83" s="79" t="s">
        <v>453</v>
      </c>
      <c r="M83" s="77" t="s">
        <v>96</v>
      </c>
      <c r="N83" s="80">
        <v>7336611.1701999996</v>
      </c>
      <c r="O83" s="77">
        <v>68</v>
      </c>
      <c r="P83" s="77">
        <v>0</v>
      </c>
      <c r="Q83" s="77" t="s">
        <v>82</v>
      </c>
      <c r="R83" s="77" t="s">
        <v>83</v>
      </c>
      <c r="S83" s="77" t="s">
        <v>82</v>
      </c>
      <c r="T83" s="77" t="s">
        <v>83</v>
      </c>
      <c r="U83" s="81">
        <v>44410</v>
      </c>
      <c r="V83" s="82">
        <v>0.60416666666666696</v>
      </c>
      <c r="W83" s="77" t="s">
        <v>84</v>
      </c>
      <c r="X83" s="77"/>
      <c r="Y83" s="77"/>
      <c r="Z83" s="77"/>
      <c r="AA83" s="83"/>
      <c r="AB83" s="77">
        <f t="shared" ca="1" si="6"/>
        <v>42</v>
      </c>
      <c r="AC83" s="84"/>
      <c r="AD83" s="84">
        <v>1</v>
      </c>
      <c r="AE83" s="85">
        <v>0</v>
      </c>
      <c r="AF83" s="84"/>
      <c r="AG83" s="84">
        <v>2</v>
      </c>
      <c r="AH83" s="85">
        <v>39767.35</v>
      </c>
      <c r="AI83" s="85"/>
      <c r="AJ83" s="86">
        <f>IF(OR(Processos!$H83="Alienação",Processos!$H83="Concessão"),"",(N83-AI83)-(AE83+AH83))</f>
        <v>7296843.8202</v>
      </c>
      <c r="AK83" s="87">
        <f t="shared" si="7"/>
        <v>0.99457960234262832</v>
      </c>
      <c r="AL83" s="79"/>
      <c r="AM83" s="88">
        <v>44291</v>
      </c>
      <c r="AN83" s="89">
        <v>44386</v>
      </c>
      <c r="AO83" s="90">
        <f>IF(Tabela1[[#This Row],[Data de aprovação]]="","",Tabela1[[#This Row],[Data de aprovação]]-Tabela1[[#This Row],[Data de abertura]])</f>
        <v>95</v>
      </c>
      <c r="AP83" s="91" t="s">
        <v>610</v>
      </c>
      <c r="AMG83" s="93"/>
      <c r="AMH83" s="93"/>
      <c r="AMI83" s="93"/>
      <c r="AMJ83" s="93"/>
    </row>
    <row r="84" spans="1:1024" s="92" customFormat="1" ht="30.75" customHeight="1" x14ac:dyDescent="0.15">
      <c r="A84" s="74"/>
      <c r="B84" s="75">
        <v>79</v>
      </c>
      <c r="C84" s="76" t="s">
        <v>526</v>
      </c>
      <c r="D84" s="77" t="s">
        <v>139</v>
      </c>
      <c r="E84" s="77" t="s">
        <v>156</v>
      </c>
      <c r="F84" s="77" t="s">
        <v>217</v>
      </c>
      <c r="G84" s="77" t="s">
        <v>58</v>
      </c>
      <c r="H84" s="77" t="s">
        <v>141</v>
      </c>
      <c r="I84" s="246" t="s">
        <v>527</v>
      </c>
      <c r="J84" s="77" t="s">
        <v>181</v>
      </c>
      <c r="K84" s="78">
        <v>44435</v>
      </c>
      <c r="L84" s="79" t="s">
        <v>222</v>
      </c>
      <c r="M84" s="77" t="s">
        <v>110</v>
      </c>
      <c r="N84" s="80">
        <v>79974.100000000006</v>
      </c>
      <c r="O84" s="77">
        <v>1</v>
      </c>
      <c r="P84" s="77">
        <v>0</v>
      </c>
      <c r="Q84" s="77"/>
      <c r="R84" s="77"/>
      <c r="S84" s="77"/>
      <c r="T84" s="77"/>
      <c r="U84" s="81">
        <v>44463</v>
      </c>
      <c r="V84" s="82">
        <v>0.59375</v>
      </c>
      <c r="W84" s="77"/>
      <c r="X84" s="77"/>
      <c r="Y84" s="77"/>
      <c r="Z84" s="77"/>
      <c r="AA84" s="83"/>
      <c r="AB84" s="77">
        <f t="shared" ca="1" si="6"/>
        <v>-11</v>
      </c>
      <c r="AC84" s="84"/>
      <c r="AD84" s="84"/>
      <c r="AE84" s="85"/>
      <c r="AF84" s="84"/>
      <c r="AG84" s="84"/>
      <c r="AH84" s="85"/>
      <c r="AI84" s="85"/>
      <c r="AJ84" s="86">
        <f>IF(OR(Processos!$H84="Alienação",Processos!$H84="Concessão"),"",(N84-AI84)-(AE84+AH84))</f>
        <v>79974.100000000006</v>
      </c>
      <c r="AK84" s="87">
        <f t="shared" si="7"/>
        <v>1</v>
      </c>
      <c r="AL84" s="79"/>
      <c r="AM84" s="88">
        <v>44385</v>
      </c>
      <c r="AN84" s="89">
        <v>44435</v>
      </c>
      <c r="AO84" s="90">
        <f>IF(Tabela1[[#This Row],[Data de aprovação]]="","",Tabela1[[#This Row],[Data de aprovação]]-Tabela1[[#This Row],[Data de abertura]])</f>
        <v>50</v>
      </c>
      <c r="AP84" s="91"/>
      <c r="AMG84" s="93"/>
      <c r="AMH84" s="93"/>
      <c r="AMI84" s="93"/>
      <c r="AMJ84" s="93"/>
    </row>
    <row r="85" spans="1:1024" s="92" customFormat="1" ht="15" customHeight="1" x14ac:dyDescent="0.15">
      <c r="A85" s="74"/>
      <c r="B85" s="75">
        <v>80</v>
      </c>
      <c r="C85" s="76" t="s">
        <v>530</v>
      </c>
      <c r="D85" s="77" t="s">
        <v>75</v>
      </c>
      <c r="E85" s="77" t="s">
        <v>76</v>
      </c>
      <c r="F85" s="77" t="s">
        <v>534</v>
      </c>
      <c r="G85" s="77" t="s">
        <v>536</v>
      </c>
      <c r="H85" s="77" t="s">
        <v>122</v>
      </c>
      <c r="I85" s="77" t="s">
        <v>531</v>
      </c>
      <c r="J85" s="77" t="s">
        <v>109</v>
      </c>
      <c r="K85" s="78">
        <v>44433</v>
      </c>
      <c r="L85" s="79" t="s">
        <v>194</v>
      </c>
      <c r="M85" s="77" t="s">
        <v>73</v>
      </c>
      <c r="N85" s="80">
        <v>321308.40999999997</v>
      </c>
      <c r="O85" s="77">
        <v>50</v>
      </c>
      <c r="P85" s="77">
        <v>0</v>
      </c>
      <c r="Q85" s="77" t="s">
        <v>82</v>
      </c>
      <c r="R85" s="77" t="s">
        <v>83</v>
      </c>
      <c r="S85" s="77" t="s">
        <v>82</v>
      </c>
      <c r="T85" s="77" t="s">
        <v>83</v>
      </c>
      <c r="U85" s="81">
        <v>44412</v>
      </c>
      <c r="V85" s="82">
        <v>0.375</v>
      </c>
      <c r="W85" s="77" t="s">
        <v>82</v>
      </c>
      <c r="X85" s="77" t="s">
        <v>83</v>
      </c>
      <c r="Y85" s="77" t="s">
        <v>58</v>
      </c>
      <c r="Z85" s="77" t="s">
        <v>83</v>
      </c>
      <c r="AA85" s="83">
        <v>44427</v>
      </c>
      <c r="AB85" s="77">
        <f t="shared" ca="1" si="6"/>
        <v>15</v>
      </c>
      <c r="AC85" s="84"/>
      <c r="AD85" s="84">
        <v>9</v>
      </c>
      <c r="AE85" s="85">
        <v>28215.06</v>
      </c>
      <c r="AF85" s="84" t="s">
        <v>609</v>
      </c>
      <c r="AG85" s="84">
        <v>28</v>
      </c>
      <c r="AH85" s="85">
        <v>180221.99</v>
      </c>
      <c r="AI85" s="85">
        <v>102758.9</v>
      </c>
      <c r="AJ85" s="86">
        <f>IF(OR(Processos!$H85="Alienação",Processos!$H85="Concessão"),"",(N85-AI85)-(AE85+AH85))</f>
        <v>10112.459999999992</v>
      </c>
      <c r="AK85" s="87">
        <f t="shared" si="7"/>
        <v>3.1472752300507764E-2</v>
      </c>
      <c r="AL85" s="79"/>
      <c r="AM85" s="88">
        <v>44291</v>
      </c>
      <c r="AN85" s="89">
        <v>44392</v>
      </c>
      <c r="AO85" s="90">
        <f>IF(Tabela1[[#This Row],[Data de aprovação]]="","",Tabela1[[#This Row],[Data de aprovação]]-Tabela1[[#This Row],[Data de abertura]])</f>
        <v>101</v>
      </c>
      <c r="AP85" s="91"/>
      <c r="AMG85" s="93"/>
      <c r="AMH85" s="93"/>
      <c r="AMI85" s="93"/>
      <c r="AMJ85" s="93"/>
    </row>
    <row r="86" spans="1:1024" s="92" customFormat="1" ht="15" customHeight="1" x14ac:dyDescent="0.15">
      <c r="A86" s="74"/>
      <c r="B86" s="75">
        <v>81</v>
      </c>
      <c r="C86" s="76" t="s">
        <v>532</v>
      </c>
      <c r="D86" s="77" t="s">
        <v>75</v>
      </c>
      <c r="E86" s="77" t="s">
        <v>76</v>
      </c>
      <c r="F86" s="77" t="s">
        <v>535</v>
      </c>
      <c r="G86" s="77" t="s">
        <v>270</v>
      </c>
      <c r="H86" s="77" t="s">
        <v>174</v>
      </c>
      <c r="I86" s="77" t="s">
        <v>533</v>
      </c>
      <c r="J86" s="77" t="s">
        <v>463</v>
      </c>
      <c r="K86" s="78">
        <v>44418</v>
      </c>
      <c r="L86" s="79" t="s">
        <v>194</v>
      </c>
      <c r="M86" s="77" t="s">
        <v>105</v>
      </c>
      <c r="N86" s="80">
        <v>130102.77</v>
      </c>
      <c r="O86" s="77">
        <v>55</v>
      </c>
      <c r="P86" s="77"/>
      <c r="Q86" s="77" t="s">
        <v>82</v>
      </c>
      <c r="R86" s="77" t="s">
        <v>83</v>
      </c>
      <c r="S86" s="77" t="s">
        <v>82</v>
      </c>
      <c r="T86" s="77" t="s">
        <v>83</v>
      </c>
      <c r="U86" s="81">
        <v>44410</v>
      </c>
      <c r="V86" s="82">
        <v>0.35416666666666702</v>
      </c>
      <c r="W86" s="77" t="s">
        <v>82</v>
      </c>
      <c r="X86" s="77" t="s">
        <v>83</v>
      </c>
      <c r="Y86" s="77" t="s">
        <v>58</v>
      </c>
      <c r="Z86" s="77" t="s">
        <v>83</v>
      </c>
      <c r="AA86" s="83"/>
      <c r="AB86" s="77">
        <v>8</v>
      </c>
      <c r="AC86" s="84">
        <v>24</v>
      </c>
      <c r="AD86" s="84">
        <v>17</v>
      </c>
      <c r="AE86" s="85">
        <v>34634.899999999994</v>
      </c>
      <c r="AF86" s="84" t="s">
        <v>576</v>
      </c>
      <c r="AG86" s="84">
        <v>14</v>
      </c>
      <c r="AH86" s="85">
        <v>7641.06</v>
      </c>
      <c r="AI86" s="85">
        <v>80572.789999999994</v>
      </c>
      <c r="AJ86" s="86">
        <f>IF(OR(Processos!$H86="Alienação",Processos!$H86="Concessão"),"",(N86-AI86)-(AE86+AH86))</f>
        <v>7254.0200000000186</v>
      </c>
      <c r="AK86" s="87">
        <f t="shared" si="7"/>
        <v>5.5756076523197917E-2</v>
      </c>
      <c r="AL86" s="79"/>
      <c r="AM86" s="88">
        <v>44291</v>
      </c>
      <c r="AN86" s="89">
        <v>44392</v>
      </c>
      <c r="AO86" s="90">
        <f>IF(Tabela1[[#This Row],[Data de aprovação]]="","",Tabela1[[#This Row],[Data de aprovação]]-Tabela1[[#This Row],[Data de abertura]])</f>
        <v>101</v>
      </c>
      <c r="AP86" s="91"/>
      <c r="AMG86" s="93"/>
      <c r="AMH86" s="93"/>
      <c r="AMI86" s="93"/>
      <c r="AMJ86" s="93"/>
    </row>
    <row r="87" spans="1:1024" s="92" customFormat="1" ht="15" customHeight="1" x14ac:dyDescent="0.15">
      <c r="A87" s="74"/>
      <c r="B87" s="75">
        <v>82</v>
      </c>
      <c r="C87" s="76" t="s">
        <v>537</v>
      </c>
      <c r="D87" s="77" t="s">
        <v>75</v>
      </c>
      <c r="E87" s="77" t="s">
        <v>76</v>
      </c>
      <c r="F87" s="77" t="s">
        <v>539</v>
      </c>
      <c r="G87" s="77" t="s">
        <v>540</v>
      </c>
      <c r="H87" s="77" t="s">
        <v>174</v>
      </c>
      <c r="I87" s="77" t="s">
        <v>538</v>
      </c>
      <c r="J87" s="77" t="s">
        <v>205</v>
      </c>
      <c r="K87" s="78">
        <v>44432</v>
      </c>
      <c r="L87" s="79"/>
      <c r="M87" s="77" t="s">
        <v>206</v>
      </c>
      <c r="N87" s="80">
        <v>86888.37</v>
      </c>
      <c r="O87" s="77">
        <v>63</v>
      </c>
      <c r="P87" s="77">
        <v>0</v>
      </c>
      <c r="Q87" s="77" t="s">
        <v>82</v>
      </c>
      <c r="R87" s="77" t="s">
        <v>83</v>
      </c>
      <c r="S87" s="77" t="s">
        <v>82</v>
      </c>
      <c r="T87" s="77" t="s">
        <v>83</v>
      </c>
      <c r="U87" s="81">
        <v>44425</v>
      </c>
      <c r="V87" s="82">
        <v>0.375</v>
      </c>
      <c r="W87" s="77" t="s">
        <v>84</v>
      </c>
      <c r="X87" s="77" t="s">
        <v>82</v>
      </c>
      <c r="Y87" s="77"/>
      <c r="Z87" s="77" t="s">
        <v>83</v>
      </c>
      <c r="AA87" s="83"/>
      <c r="AB87" s="77">
        <f ca="1">IF(U87="","",IF(AA87="",TODAY()-U87,IF(AA87-U87,AA87-U87,0)))</f>
        <v>27</v>
      </c>
      <c r="AC87" s="84">
        <v>31</v>
      </c>
      <c r="AD87" s="84">
        <v>5</v>
      </c>
      <c r="AE87" s="85">
        <v>4352.74</v>
      </c>
      <c r="AF87" s="84" t="s">
        <v>618</v>
      </c>
      <c r="AG87" s="84">
        <v>27</v>
      </c>
      <c r="AH87" s="85">
        <v>14454.9</v>
      </c>
      <c r="AI87" s="85">
        <v>44554.16</v>
      </c>
      <c r="AJ87" s="86">
        <f>IF(OR(Processos!$H87="Alienação",Processos!$H87="Concessão"),"",(N87-AI87)-(AE87+AH87))</f>
        <v>23526.569999999992</v>
      </c>
      <c r="AK87" s="87">
        <f>IF(ISERROR((AJ87*100)/N87/100),"",(AJ87*100)/N87/100)</f>
        <v>0.27076776788424034</v>
      </c>
      <c r="AL87" s="79"/>
      <c r="AM87" s="88">
        <v>44333</v>
      </c>
      <c r="AN87" s="89"/>
      <c r="AO87" s="90" t="str">
        <f>IF(Tabela1[[#This Row],[Data de aprovação]]="","",Tabela1[[#This Row],[Data de aprovação]]-Tabela1[[#This Row],[Data de abertura]])</f>
        <v/>
      </c>
      <c r="AP87" s="91"/>
      <c r="AMG87" s="93"/>
      <c r="AMH87" s="93"/>
      <c r="AMI87" s="93"/>
      <c r="AMJ87" s="93"/>
    </row>
    <row r="88" spans="1:1024" s="92" customFormat="1" ht="15" customHeight="1" x14ac:dyDescent="0.15">
      <c r="A88" s="74"/>
      <c r="B88" s="75">
        <v>83</v>
      </c>
      <c r="C88" s="76" t="s">
        <v>528</v>
      </c>
      <c r="D88" s="77" t="s">
        <v>75</v>
      </c>
      <c r="E88" s="77" t="s">
        <v>76</v>
      </c>
      <c r="F88" s="77" t="s">
        <v>545</v>
      </c>
      <c r="G88" s="77" t="s">
        <v>543</v>
      </c>
      <c r="H88" s="77" t="s">
        <v>122</v>
      </c>
      <c r="I88" s="77" t="s">
        <v>529</v>
      </c>
      <c r="J88" s="77" t="s">
        <v>137</v>
      </c>
      <c r="K88" s="78">
        <v>44442</v>
      </c>
      <c r="L88" s="79" t="s">
        <v>125</v>
      </c>
      <c r="M88" s="77" t="s">
        <v>96</v>
      </c>
      <c r="N88" s="80">
        <v>46427.4</v>
      </c>
      <c r="O88" s="77">
        <v>9</v>
      </c>
      <c r="P88" s="77">
        <v>1</v>
      </c>
      <c r="Q88" s="77" t="s">
        <v>82</v>
      </c>
      <c r="R88" s="77" t="s">
        <v>83</v>
      </c>
      <c r="S88" s="77" t="s">
        <v>82</v>
      </c>
      <c r="T88" s="77" t="s">
        <v>83</v>
      </c>
      <c r="U88" s="81">
        <v>44439</v>
      </c>
      <c r="V88" s="82">
        <v>0.60416666666666696</v>
      </c>
      <c r="W88" s="77" t="s">
        <v>82</v>
      </c>
      <c r="X88" s="77" t="s">
        <v>83</v>
      </c>
      <c r="Y88" s="77" t="s">
        <v>58</v>
      </c>
      <c r="Z88" s="77" t="s">
        <v>83</v>
      </c>
      <c r="AA88" s="83">
        <v>44441</v>
      </c>
      <c r="AB88" s="77">
        <f t="shared" ca="1" si="6"/>
        <v>2</v>
      </c>
      <c r="AC88" s="84">
        <v>3</v>
      </c>
      <c r="AD88" s="84">
        <v>0</v>
      </c>
      <c r="AE88" s="85">
        <v>0</v>
      </c>
      <c r="AF88" s="84" t="s">
        <v>58</v>
      </c>
      <c r="AG88" s="84">
        <v>6</v>
      </c>
      <c r="AH88" s="85">
        <v>28592.29</v>
      </c>
      <c r="AI88" s="85">
        <v>15642.17</v>
      </c>
      <c r="AJ88" s="86">
        <f>IF(OR(Processos!$H88="Alienação",Processos!$H88="Concessão"),"",(N88-AI88)-(AE88+AH88))</f>
        <v>2192.9400000000023</v>
      </c>
      <c r="AK88" s="87">
        <f t="shared" si="7"/>
        <v>4.7233745589888777E-2</v>
      </c>
      <c r="AL88" s="79" t="s">
        <v>86</v>
      </c>
      <c r="AM88" s="88">
        <v>44291</v>
      </c>
      <c r="AN88" s="89">
        <v>44400</v>
      </c>
      <c r="AO88" s="90">
        <f>IF(Tabela1[[#This Row],[Data de aprovação]]="","",Tabela1[[#This Row],[Data de aprovação]]-Tabela1[[#This Row],[Data de abertura]])</f>
        <v>109</v>
      </c>
      <c r="AP88" s="91"/>
      <c r="AMG88" s="93"/>
      <c r="AMH88" s="93"/>
      <c r="AMI88" s="93"/>
      <c r="AMJ88" s="93"/>
    </row>
    <row r="89" spans="1:1024" s="92" customFormat="1" ht="15" customHeight="1" x14ac:dyDescent="0.15">
      <c r="A89" s="74"/>
      <c r="B89" s="75">
        <v>84</v>
      </c>
      <c r="C89" s="76" t="s">
        <v>541</v>
      </c>
      <c r="D89" s="77" t="s">
        <v>75</v>
      </c>
      <c r="E89" s="77" t="s">
        <v>76</v>
      </c>
      <c r="F89" s="77" t="s">
        <v>546</v>
      </c>
      <c r="G89" s="77" t="s">
        <v>544</v>
      </c>
      <c r="H89" s="77" t="s">
        <v>174</v>
      </c>
      <c r="I89" s="77" t="s">
        <v>542</v>
      </c>
      <c r="J89" s="77" t="s">
        <v>205</v>
      </c>
      <c r="K89" s="78">
        <v>44442</v>
      </c>
      <c r="L89" s="79" t="s">
        <v>125</v>
      </c>
      <c r="M89" s="77" t="s">
        <v>206</v>
      </c>
      <c r="N89" s="80">
        <v>139683.07</v>
      </c>
      <c r="O89" s="77">
        <v>71</v>
      </c>
      <c r="P89" s="77">
        <v>0</v>
      </c>
      <c r="Q89" s="77" t="s">
        <v>82</v>
      </c>
      <c r="R89" s="77" t="s">
        <v>83</v>
      </c>
      <c r="S89" s="77" t="s">
        <v>82</v>
      </c>
      <c r="T89" s="77" t="s">
        <v>83</v>
      </c>
      <c r="U89" s="81">
        <v>44427</v>
      </c>
      <c r="V89" s="82">
        <v>0.375</v>
      </c>
      <c r="W89" s="77" t="s">
        <v>82</v>
      </c>
      <c r="X89" s="77" t="s">
        <v>83</v>
      </c>
      <c r="Y89" s="77"/>
      <c r="Z89" s="77" t="s">
        <v>82</v>
      </c>
      <c r="AA89" s="83"/>
      <c r="AB89" s="77">
        <f t="shared" ca="1" si="6"/>
        <v>25</v>
      </c>
      <c r="AC89" s="84">
        <v>39</v>
      </c>
      <c r="AD89" s="84">
        <v>8</v>
      </c>
      <c r="AE89" s="85">
        <v>29904.86</v>
      </c>
      <c r="AF89" s="84" t="s">
        <v>618</v>
      </c>
      <c r="AG89" s="84">
        <v>24</v>
      </c>
      <c r="AH89" s="85">
        <v>22500.99</v>
      </c>
      <c r="AI89" s="85">
        <v>79270</v>
      </c>
      <c r="AJ89" s="86">
        <f>IF(OR(Processos!$H89="Alienação",Processos!$H89="Concessão"),"",(N89-AI89)-(AE89+AH89))</f>
        <v>8007.2200000000012</v>
      </c>
      <c r="AK89" s="87">
        <f t="shared" si="7"/>
        <v>5.7324198272560876E-2</v>
      </c>
      <c r="AL89" s="79"/>
      <c r="AM89" s="88">
        <v>44333</v>
      </c>
      <c r="AN89" s="89">
        <v>44400</v>
      </c>
      <c r="AO89" s="90">
        <f>IF(Tabela1[[#This Row],[Data de aprovação]]="","",Tabela1[[#This Row],[Data de aprovação]]-Tabela1[[#This Row],[Data de abertura]])</f>
        <v>67</v>
      </c>
      <c r="AP89" s="91"/>
      <c r="AMG89" s="93"/>
      <c r="AMH89" s="93"/>
      <c r="AMI89" s="93"/>
      <c r="AMJ89" s="93"/>
    </row>
    <row r="90" spans="1:1024" s="92" customFormat="1" ht="15" customHeight="1" x14ac:dyDescent="0.15">
      <c r="A90" s="74"/>
      <c r="B90" s="75">
        <v>85</v>
      </c>
      <c r="C90" s="76" t="s">
        <v>547</v>
      </c>
      <c r="D90" s="77" t="s">
        <v>139</v>
      </c>
      <c r="E90" s="77" t="s">
        <v>156</v>
      </c>
      <c r="F90" s="77" t="s">
        <v>212</v>
      </c>
      <c r="G90" s="77" t="s">
        <v>58</v>
      </c>
      <c r="H90" s="77" t="s">
        <v>141</v>
      </c>
      <c r="I90" s="77" t="s">
        <v>548</v>
      </c>
      <c r="J90" s="77" t="s">
        <v>323</v>
      </c>
      <c r="K90" s="78">
        <v>44406</v>
      </c>
      <c r="L90" s="79" t="s">
        <v>72</v>
      </c>
      <c r="M90" s="77" t="s">
        <v>110</v>
      </c>
      <c r="N90" s="80">
        <v>1252580.75</v>
      </c>
      <c r="O90" s="77">
        <v>1</v>
      </c>
      <c r="P90" s="77">
        <v>0</v>
      </c>
      <c r="Q90" s="77"/>
      <c r="R90" s="77"/>
      <c r="S90" s="77"/>
      <c r="T90" s="77"/>
      <c r="U90" s="81"/>
      <c r="V90" s="82"/>
      <c r="W90" s="77"/>
      <c r="X90" s="77"/>
      <c r="Y90" s="77"/>
      <c r="Z90" s="77"/>
      <c r="AA90" s="83"/>
      <c r="AB90" s="77" t="str">
        <f t="shared" ca="1" si="6"/>
        <v/>
      </c>
      <c r="AC90" s="84"/>
      <c r="AD90" s="84"/>
      <c r="AE90" s="85"/>
      <c r="AF90" s="84"/>
      <c r="AG90" s="84"/>
      <c r="AH90" s="85"/>
      <c r="AI90" s="85"/>
      <c r="AJ90" s="86">
        <f>IF(OR(Processos!$H90="Alienação",Processos!$H90="Concessão"),"",(N90-AI90)-(AE90+AH90))</f>
        <v>1252580.75</v>
      </c>
      <c r="AK90" s="87">
        <f t="shared" si="7"/>
        <v>1</v>
      </c>
      <c r="AL90" s="79"/>
      <c r="AM90" s="88">
        <v>44403</v>
      </c>
      <c r="AN90" s="89">
        <v>44405</v>
      </c>
      <c r="AO90" s="90">
        <f>IF(Tabela1[[#This Row],[Data de aprovação]]="","",Tabela1[[#This Row],[Data de aprovação]]-Tabela1[[#This Row],[Data de abertura]])</f>
        <v>2</v>
      </c>
      <c r="AP90" s="91"/>
      <c r="AMG90" s="93"/>
      <c r="AMH90" s="93"/>
      <c r="AMI90" s="93"/>
      <c r="AMJ90" s="93"/>
    </row>
    <row r="91" spans="1:1024" s="92" customFormat="1" ht="15" customHeight="1" x14ac:dyDescent="0.15">
      <c r="A91" s="74"/>
      <c r="B91" s="75">
        <v>86</v>
      </c>
      <c r="C91" s="76" t="s">
        <v>553</v>
      </c>
      <c r="D91" s="77" t="s">
        <v>75</v>
      </c>
      <c r="E91" s="77" t="s">
        <v>76</v>
      </c>
      <c r="F91" s="77" t="s">
        <v>554</v>
      </c>
      <c r="G91" s="77" t="s">
        <v>556</v>
      </c>
      <c r="H91" s="77" t="s">
        <v>122</v>
      </c>
      <c r="I91" s="77" t="s">
        <v>516</v>
      </c>
      <c r="J91" s="77" t="s">
        <v>124</v>
      </c>
      <c r="K91" s="78">
        <v>44449</v>
      </c>
      <c r="L91" s="79" t="s">
        <v>339</v>
      </c>
      <c r="M91" s="77" t="s">
        <v>105</v>
      </c>
      <c r="N91" s="80">
        <v>4980587.18</v>
      </c>
      <c r="O91" s="77">
        <v>58</v>
      </c>
      <c r="P91" s="77">
        <v>0</v>
      </c>
      <c r="Q91" s="77"/>
      <c r="R91" s="77"/>
      <c r="S91" s="77"/>
      <c r="T91" s="77"/>
      <c r="U91" s="81">
        <v>44426</v>
      </c>
      <c r="V91" s="82">
        <v>0.35416666666666702</v>
      </c>
      <c r="W91" s="77"/>
      <c r="X91" s="77"/>
      <c r="Y91" s="77"/>
      <c r="Z91" s="77"/>
      <c r="AA91" s="83"/>
      <c r="AB91" s="77">
        <f t="shared" ref="AB91:AB93" ca="1" si="8">IF(U91="","",IF(AA91="",TODAY()-U91,IF(AA91-U91,AA91-U91,0)))</f>
        <v>26</v>
      </c>
      <c r="AC91" s="84"/>
      <c r="AD91" s="84"/>
      <c r="AE91" s="85"/>
      <c r="AF91" s="84"/>
      <c r="AG91" s="84"/>
      <c r="AH91" s="85"/>
      <c r="AI91" s="85"/>
      <c r="AJ91" s="86">
        <f>IF(OR(Processos!$H91="Alienação",Processos!$H91="Concessão"),"",(N91-AI91)-(AE91+AH91))</f>
        <v>4980587.18</v>
      </c>
      <c r="AK91" s="87">
        <f t="shared" ref="AK91:AK93" si="9">IF(ISERROR((AJ91*100)/N91/100),"",(AJ91*100)/N91/100)</f>
        <v>1</v>
      </c>
      <c r="AL91" s="79"/>
      <c r="AM91" s="88">
        <v>44291</v>
      </c>
      <c r="AN91" s="89">
        <v>44411</v>
      </c>
      <c r="AO91" s="90">
        <f>IF(Tabela1[[#This Row],[Data de aprovação]]="","",Tabela1[[#This Row],[Data de aprovação]]-Tabela1[[#This Row],[Data de abertura]])</f>
        <v>120</v>
      </c>
      <c r="AP91" s="91" t="s">
        <v>628</v>
      </c>
      <c r="AMG91" s="93"/>
      <c r="AMH91" s="93"/>
      <c r="AMI91" s="93"/>
      <c r="AMJ91" s="93"/>
    </row>
    <row r="92" spans="1:1024" s="92" customFormat="1" ht="15" customHeight="1" x14ac:dyDescent="0.15">
      <c r="A92" s="74"/>
      <c r="B92" s="75">
        <v>87</v>
      </c>
      <c r="C92" s="76" t="s">
        <v>551</v>
      </c>
      <c r="D92" s="77" t="s">
        <v>75</v>
      </c>
      <c r="E92" s="77" t="s">
        <v>76</v>
      </c>
      <c r="F92" s="77" t="s">
        <v>555</v>
      </c>
      <c r="G92" s="77" t="s">
        <v>557</v>
      </c>
      <c r="H92" s="77" t="s">
        <v>122</v>
      </c>
      <c r="I92" s="77" t="s">
        <v>552</v>
      </c>
      <c r="J92" s="77" t="s">
        <v>456</v>
      </c>
      <c r="K92" s="78">
        <v>44442</v>
      </c>
      <c r="L92" s="79" t="s">
        <v>125</v>
      </c>
      <c r="M92" s="77" t="s">
        <v>63</v>
      </c>
      <c r="N92" s="80">
        <v>1817971.65</v>
      </c>
      <c r="O92" s="77">
        <v>37</v>
      </c>
      <c r="P92" s="77">
        <v>0</v>
      </c>
      <c r="Q92" s="77" t="s">
        <v>82</v>
      </c>
      <c r="R92" s="77" t="s">
        <v>83</v>
      </c>
      <c r="S92" s="77" t="s">
        <v>82</v>
      </c>
      <c r="T92" s="77" t="s">
        <v>83</v>
      </c>
      <c r="U92" s="81">
        <v>44427</v>
      </c>
      <c r="V92" s="82">
        <v>0.41666666666666713</v>
      </c>
      <c r="W92" s="77" t="s">
        <v>82</v>
      </c>
      <c r="X92" s="77" t="s">
        <v>83</v>
      </c>
      <c r="Y92" s="77" t="s">
        <v>58</v>
      </c>
      <c r="Z92" s="77" t="s">
        <v>83</v>
      </c>
      <c r="AA92" s="83">
        <v>44441</v>
      </c>
      <c r="AB92" s="77">
        <f t="shared" ca="1" si="8"/>
        <v>14</v>
      </c>
      <c r="AC92" s="84">
        <v>29</v>
      </c>
      <c r="AD92" s="84">
        <v>5</v>
      </c>
      <c r="AE92" s="85">
        <v>84870.35</v>
      </c>
      <c r="AF92" s="84" t="s">
        <v>183</v>
      </c>
      <c r="AG92" s="84">
        <v>3</v>
      </c>
      <c r="AH92" s="85">
        <v>3479.44</v>
      </c>
      <c r="AI92" s="85">
        <v>1542565.21</v>
      </c>
      <c r="AJ92" s="86">
        <f>IF(OR(Processos!$H92="Alienação",Processos!$H92="Concessão"),"",(N92-AI92)-(AE92+AH92))</f>
        <v>187056.64999999994</v>
      </c>
      <c r="AK92" s="87">
        <f t="shared" si="9"/>
        <v>0.10289305116501676</v>
      </c>
      <c r="AL92" s="79" t="s">
        <v>86</v>
      </c>
      <c r="AM92" s="88">
        <v>44291</v>
      </c>
      <c r="AN92" s="89">
        <v>44411</v>
      </c>
      <c r="AO92" s="90">
        <f>IF(Tabela1[[#This Row],[Data de aprovação]]="","",Tabela1[[#This Row],[Data de aprovação]]-Tabela1[[#This Row],[Data de abertura]])</f>
        <v>120</v>
      </c>
      <c r="AP92" s="91"/>
      <c r="AMG92" s="93"/>
      <c r="AMH92" s="93"/>
      <c r="AMI92" s="93"/>
      <c r="AMJ92" s="93"/>
    </row>
    <row r="93" spans="1:1024" s="92" customFormat="1" ht="15" customHeight="1" x14ac:dyDescent="0.15">
      <c r="A93" s="74"/>
      <c r="B93" s="75">
        <v>88</v>
      </c>
      <c r="C93" s="76" t="s">
        <v>560</v>
      </c>
      <c r="D93" s="77" t="s">
        <v>75</v>
      </c>
      <c r="E93" s="77" t="s">
        <v>76</v>
      </c>
      <c r="F93" s="77" t="s">
        <v>567</v>
      </c>
      <c r="G93" s="77" t="s">
        <v>568</v>
      </c>
      <c r="H93" s="77" t="s">
        <v>122</v>
      </c>
      <c r="I93" s="77" t="s">
        <v>516</v>
      </c>
      <c r="J93" s="77" t="s">
        <v>124</v>
      </c>
      <c r="K93" s="78">
        <v>44442</v>
      </c>
      <c r="L93" s="79" t="s">
        <v>339</v>
      </c>
      <c r="M93" s="77" t="s">
        <v>73</v>
      </c>
      <c r="N93" s="80">
        <v>2291456.61</v>
      </c>
      <c r="O93" s="77">
        <v>66</v>
      </c>
      <c r="P93" s="77">
        <v>0</v>
      </c>
      <c r="Q93" s="77"/>
      <c r="R93" s="77"/>
      <c r="S93" s="77"/>
      <c r="T93" s="77"/>
      <c r="U93" s="81">
        <v>44442</v>
      </c>
      <c r="V93" s="82">
        <v>0.375</v>
      </c>
      <c r="W93" s="77"/>
      <c r="X93" s="77"/>
      <c r="Y93" s="77"/>
      <c r="Z93" s="77"/>
      <c r="AA93" s="83"/>
      <c r="AB93" s="77">
        <f t="shared" ca="1" si="8"/>
        <v>10</v>
      </c>
      <c r="AC93" s="84"/>
      <c r="AD93" s="84"/>
      <c r="AE93" s="85"/>
      <c r="AF93" s="84"/>
      <c r="AG93" s="84"/>
      <c r="AH93" s="85"/>
      <c r="AI93" s="85"/>
      <c r="AJ93" s="86">
        <f>IF(OR(Processos!$H93="Alienação",Processos!$H93="Concessão"),"",(N93-AI93)-(AE93+AH93))</f>
        <v>2291456.61</v>
      </c>
      <c r="AK93" s="87">
        <f t="shared" si="9"/>
        <v>1</v>
      </c>
      <c r="AL93" s="79"/>
      <c r="AM93" s="88">
        <v>44291</v>
      </c>
      <c r="AN93" s="89">
        <v>44413</v>
      </c>
      <c r="AO93" s="90">
        <f>IF(Tabela1[[#This Row],[Data de aprovação]]="","",Tabela1[[#This Row],[Data de aprovação]]-Tabela1[[#This Row],[Data de abertura]])</f>
        <v>122</v>
      </c>
      <c r="AP93" s="91"/>
      <c r="AMG93" s="93"/>
      <c r="AMH93" s="93"/>
      <c r="AMI93" s="93"/>
      <c r="AMJ93" s="93"/>
    </row>
    <row r="94" spans="1:1024" s="92" customFormat="1" ht="15" customHeight="1" x14ac:dyDescent="0.15">
      <c r="A94" s="74"/>
      <c r="B94" s="75">
        <v>89</v>
      </c>
      <c r="C94" s="76" t="s">
        <v>564</v>
      </c>
      <c r="D94" s="77" t="s">
        <v>75</v>
      </c>
      <c r="E94" s="77" t="s">
        <v>76</v>
      </c>
      <c r="F94" s="77" t="s">
        <v>565</v>
      </c>
      <c r="G94" s="77" t="s">
        <v>569</v>
      </c>
      <c r="H94" s="77" t="s">
        <v>174</v>
      </c>
      <c r="I94" s="77" t="s">
        <v>562</v>
      </c>
      <c r="J94" s="77" t="s">
        <v>205</v>
      </c>
      <c r="K94" s="78">
        <v>44439</v>
      </c>
      <c r="L94" s="79" t="s">
        <v>339</v>
      </c>
      <c r="M94" s="77" t="s">
        <v>63</v>
      </c>
      <c r="N94" s="80">
        <v>152648.82</v>
      </c>
      <c r="O94" s="77">
        <v>47</v>
      </c>
      <c r="P94" s="77">
        <v>0</v>
      </c>
      <c r="Q94" s="77"/>
      <c r="R94" s="77"/>
      <c r="S94" s="77"/>
      <c r="T94" s="77"/>
      <c r="U94" s="81">
        <v>44433</v>
      </c>
      <c r="V94" s="82">
        <v>0.41666666666666713</v>
      </c>
      <c r="W94" s="77"/>
      <c r="X94" s="77"/>
      <c r="Y94" s="77"/>
      <c r="Z94" s="77"/>
      <c r="AA94" s="83"/>
      <c r="AB94" s="77">
        <f ca="1">IF(U94="","",IF(AA94="",TODAY()-U94,IF(AA94-U94,AA94-U94,0)))</f>
        <v>19</v>
      </c>
      <c r="AC94" s="84"/>
      <c r="AD94" s="84"/>
      <c r="AE94" s="85"/>
      <c r="AF94" s="84"/>
      <c r="AG94" s="84"/>
      <c r="AH94" s="85"/>
      <c r="AI94" s="85"/>
      <c r="AJ94" s="86">
        <f>IF(OR(Processos!$H94="Alienação",Processos!$H94="Concessão"),"",(N94-AI94)-(AE94+AH94))</f>
        <v>152648.82</v>
      </c>
      <c r="AK94" s="87">
        <f>IF(ISERROR((AJ94*100)/N94/100),"",(AJ94*100)/N94/100)</f>
        <v>1</v>
      </c>
      <c r="AL94" s="79"/>
      <c r="AM94" s="88">
        <v>44291</v>
      </c>
      <c r="AN94" s="89">
        <v>44413</v>
      </c>
      <c r="AO94" s="90">
        <f>IF(Tabela1[[#This Row],[Data de aprovação]]="","",Tabela1[[#This Row],[Data de aprovação]]-Tabela1[[#This Row],[Data de abertura]])</f>
        <v>122</v>
      </c>
      <c r="AP94" s="91"/>
      <c r="AMG94" s="93"/>
      <c r="AMH94" s="93"/>
      <c r="AMI94" s="93"/>
      <c r="AMJ94" s="93"/>
    </row>
    <row r="95" spans="1:1024" s="92" customFormat="1" ht="15" customHeight="1" x14ac:dyDescent="0.15">
      <c r="A95" s="74"/>
      <c r="B95" s="75">
        <v>90</v>
      </c>
      <c r="C95" s="76" t="s">
        <v>561</v>
      </c>
      <c r="D95" s="77" t="s">
        <v>75</v>
      </c>
      <c r="E95" s="77" t="s">
        <v>76</v>
      </c>
      <c r="F95" s="77" t="s">
        <v>566</v>
      </c>
      <c r="G95" s="77" t="s">
        <v>570</v>
      </c>
      <c r="H95" s="77" t="s">
        <v>174</v>
      </c>
      <c r="I95" s="77" t="s">
        <v>563</v>
      </c>
      <c r="J95" s="77" t="s">
        <v>124</v>
      </c>
      <c r="K95" s="78">
        <v>44417</v>
      </c>
      <c r="L95" s="79" t="s">
        <v>194</v>
      </c>
      <c r="M95" s="77" t="s">
        <v>96</v>
      </c>
      <c r="N95" s="80">
        <v>133403.4</v>
      </c>
      <c r="O95" s="77">
        <v>77</v>
      </c>
      <c r="P95" s="77">
        <v>0</v>
      </c>
      <c r="Q95" s="77" t="s">
        <v>82</v>
      </c>
      <c r="R95" s="77" t="s">
        <v>83</v>
      </c>
      <c r="S95" s="77" t="s">
        <v>82</v>
      </c>
      <c r="T95" s="77" t="s">
        <v>83</v>
      </c>
      <c r="U95" s="81">
        <v>44431</v>
      </c>
      <c r="V95" s="82">
        <v>0.60416666666666696</v>
      </c>
      <c r="W95" s="77" t="s">
        <v>82</v>
      </c>
      <c r="X95" s="77" t="s">
        <v>83</v>
      </c>
      <c r="Y95" s="77" t="s">
        <v>58</v>
      </c>
      <c r="Z95" s="77" t="s">
        <v>83</v>
      </c>
      <c r="AA95" s="83"/>
      <c r="AB95" s="77">
        <f t="shared" ref="AB95" ca="1" si="10">IF(U95="","",IF(AA95="",TODAY()-U95,IF(AA95-U95,AA95-U95,0)))</f>
        <v>21</v>
      </c>
      <c r="AC95" s="84">
        <v>42</v>
      </c>
      <c r="AD95" s="84">
        <v>11</v>
      </c>
      <c r="AE95" s="85">
        <v>13890.85</v>
      </c>
      <c r="AF95" s="84" t="s">
        <v>616</v>
      </c>
      <c r="AG95" s="84">
        <v>24</v>
      </c>
      <c r="AH95" s="85">
        <v>24084.61</v>
      </c>
      <c r="AI95" s="85">
        <v>79570.22</v>
      </c>
      <c r="AJ95" s="86">
        <f>IF(OR(Processos!$H95="Alienação",Processos!$H95="Concessão"),"",(N95-AI95)-(AE95+AH95))</f>
        <v>15857.719999999994</v>
      </c>
      <c r="AK95" s="87">
        <f t="shared" ref="AK95" si="11">IF(ISERROR((AJ95*100)/N95/100),"",(AJ95*100)/N95/100)</f>
        <v>0.11887043358714991</v>
      </c>
      <c r="AL95" s="79"/>
      <c r="AM95" s="88">
        <v>44333</v>
      </c>
      <c r="AN95" s="89">
        <v>44413</v>
      </c>
      <c r="AO95" s="90">
        <f>IF(Tabela1[[#This Row],[Data de aprovação]]="","",Tabela1[[#This Row],[Data de aprovação]]-Tabela1[[#This Row],[Data de abertura]])</f>
        <v>80</v>
      </c>
      <c r="AP95" s="91" t="s">
        <v>617</v>
      </c>
      <c r="AMG95" s="93"/>
      <c r="AMH95" s="93"/>
      <c r="AMI95" s="93"/>
      <c r="AMJ95" s="93"/>
    </row>
    <row r="96" spans="1:1024" s="92" customFormat="1" ht="15" customHeight="1" x14ac:dyDescent="0.15">
      <c r="A96" s="74"/>
      <c r="B96" s="75">
        <v>91</v>
      </c>
      <c r="C96" s="76" t="s">
        <v>572</v>
      </c>
      <c r="D96" s="77" t="s">
        <v>75</v>
      </c>
      <c r="E96" s="77" t="s">
        <v>76</v>
      </c>
      <c r="F96" s="77" t="s">
        <v>574</v>
      </c>
      <c r="G96" s="77" t="s">
        <v>575</v>
      </c>
      <c r="H96" s="77" t="s">
        <v>122</v>
      </c>
      <c r="I96" s="77" t="s">
        <v>573</v>
      </c>
      <c r="J96" s="77" t="s">
        <v>210</v>
      </c>
      <c r="K96" s="78">
        <v>44449</v>
      </c>
      <c r="L96" s="79" t="s">
        <v>339</v>
      </c>
      <c r="M96" s="77" t="s">
        <v>110</v>
      </c>
      <c r="N96" s="80">
        <v>1016955.44</v>
      </c>
      <c r="O96" s="77">
        <v>56</v>
      </c>
      <c r="P96" s="77">
        <v>9</v>
      </c>
      <c r="Q96" s="77"/>
      <c r="R96" s="77"/>
      <c r="S96" s="77"/>
      <c r="T96" s="77"/>
      <c r="U96" s="81">
        <v>44433</v>
      </c>
      <c r="V96" s="82">
        <v>0.375</v>
      </c>
      <c r="W96" s="77"/>
      <c r="X96" s="77"/>
      <c r="Y96" s="77"/>
      <c r="Z96" s="77"/>
      <c r="AA96" s="83"/>
      <c r="AB96" s="77"/>
      <c r="AC96" s="84"/>
      <c r="AD96" s="84"/>
      <c r="AE96" s="85"/>
      <c r="AF96" s="84"/>
      <c r="AG96" s="84"/>
      <c r="AH96" s="85"/>
      <c r="AI96" s="85"/>
      <c r="AJ96" s="86"/>
      <c r="AK96" s="87"/>
      <c r="AL96" s="79"/>
      <c r="AM96" s="88">
        <v>44291</v>
      </c>
      <c r="AN96" s="89">
        <v>44417</v>
      </c>
      <c r="AO96" s="90">
        <f>IF(Tabela1[[#This Row],[Data de aprovação]]="","",Tabela1[[#This Row],[Data de aprovação]]-Tabela1[[#This Row],[Data de abertura]])</f>
        <v>126</v>
      </c>
      <c r="AP96" s="91" t="s">
        <v>632</v>
      </c>
      <c r="AMG96" s="93"/>
      <c r="AMH96" s="93"/>
      <c r="AMI96" s="93"/>
      <c r="AMJ96" s="93"/>
    </row>
    <row r="97" spans="1:1024" s="92" customFormat="1" ht="15" customHeight="1" x14ac:dyDescent="0.15">
      <c r="A97" s="74"/>
      <c r="B97" s="75">
        <v>92</v>
      </c>
      <c r="C97" s="76" t="s">
        <v>577</v>
      </c>
      <c r="D97" s="77" t="s">
        <v>75</v>
      </c>
      <c r="E97" s="77" t="s">
        <v>76</v>
      </c>
      <c r="F97" s="77" t="s">
        <v>581</v>
      </c>
      <c r="G97" s="77" t="s">
        <v>583</v>
      </c>
      <c r="H97" s="77" t="s">
        <v>122</v>
      </c>
      <c r="I97" s="77" t="s">
        <v>578</v>
      </c>
      <c r="J97" s="77" t="s">
        <v>109</v>
      </c>
      <c r="K97" s="78">
        <v>44449</v>
      </c>
      <c r="L97" s="79" t="s">
        <v>453</v>
      </c>
      <c r="M97" s="77" t="s">
        <v>73</v>
      </c>
      <c r="N97" s="80">
        <v>1201967.2124999999</v>
      </c>
      <c r="O97" s="77">
        <v>71</v>
      </c>
      <c r="P97" s="77">
        <v>0</v>
      </c>
      <c r="Q97" s="77"/>
      <c r="R97" s="77"/>
      <c r="S97" s="77"/>
      <c r="T97" s="77"/>
      <c r="U97" s="81">
        <v>44435</v>
      </c>
      <c r="V97" s="82">
        <v>0.375</v>
      </c>
      <c r="W97" s="77"/>
      <c r="X97" s="77"/>
      <c r="Y97" s="77"/>
      <c r="Z97" s="77"/>
      <c r="AA97" s="83"/>
      <c r="AB97" s="77"/>
      <c r="AC97" s="84"/>
      <c r="AD97" s="84"/>
      <c r="AE97" s="85"/>
      <c r="AF97" s="84"/>
      <c r="AG97" s="84"/>
      <c r="AH97" s="85"/>
      <c r="AI97" s="85"/>
      <c r="AJ97" s="86"/>
      <c r="AK97" s="87"/>
      <c r="AL97" s="79"/>
      <c r="AM97" s="88">
        <v>44291</v>
      </c>
      <c r="AN97" s="89">
        <v>44419</v>
      </c>
      <c r="AO97" s="90">
        <f>IF(Tabela1[[#This Row],[Data de aprovação]]="","",Tabela1[[#This Row],[Data de aprovação]]-Tabela1[[#This Row],[Data de abertura]])</f>
        <v>128</v>
      </c>
      <c r="AP97" s="91"/>
      <c r="AMG97" s="93"/>
      <c r="AMH97" s="93"/>
      <c r="AMI97" s="93"/>
      <c r="AMJ97" s="93"/>
    </row>
    <row r="98" spans="1:1024" s="92" customFormat="1" ht="15" customHeight="1" x14ac:dyDescent="0.15">
      <c r="A98" s="74"/>
      <c r="B98" s="75">
        <v>93</v>
      </c>
      <c r="C98" s="76" t="s">
        <v>579</v>
      </c>
      <c r="D98" s="77" t="s">
        <v>75</v>
      </c>
      <c r="E98" s="77" t="s">
        <v>76</v>
      </c>
      <c r="F98" s="77" t="s">
        <v>582</v>
      </c>
      <c r="G98" s="77" t="s">
        <v>274</v>
      </c>
      <c r="H98" s="77" t="s">
        <v>174</v>
      </c>
      <c r="I98" s="77" t="s">
        <v>580</v>
      </c>
      <c r="J98" s="77" t="s">
        <v>109</v>
      </c>
      <c r="K98" s="78">
        <v>44449</v>
      </c>
      <c r="L98" s="79" t="s">
        <v>143</v>
      </c>
      <c r="M98" s="77" t="s">
        <v>105</v>
      </c>
      <c r="N98" s="80">
        <v>36434.720000000001</v>
      </c>
      <c r="O98" s="77">
        <v>37</v>
      </c>
      <c r="P98" s="77">
        <v>1</v>
      </c>
      <c r="Q98" s="77" t="s">
        <v>82</v>
      </c>
      <c r="R98" s="77" t="s">
        <v>83</v>
      </c>
      <c r="S98" s="77" t="s">
        <v>82</v>
      </c>
      <c r="T98" s="77" t="s">
        <v>83</v>
      </c>
      <c r="U98" s="81">
        <v>44434</v>
      </c>
      <c r="V98" s="82">
        <v>0.35416666666666702</v>
      </c>
      <c r="W98" s="77" t="s">
        <v>82</v>
      </c>
      <c r="X98" s="77" t="s">
        <v>83</v>
      </c>
      <c r="Y98" s="77" t="s">
        <v>58</v>
      </c>
      <c r="Z98" s="77"/>
      <c r="AA98" s="83">
        <v>44447</v>
      </c>
      <c r="AB98" s="77">
        <f ca="1">IF(U98="","",IF(AA98="",TODAY()-U98,IF(AA98-U98,AA98-U98,0)))</f>
        <v>13</v>
      </c>
      <c r="AC98" s="84">
        <v>0</v>
      </c>
      <c r="AD98" s="84">
        <v>37</v>
      </c>
      <c r="AE98" s="85">
        <v>36434.720000000001</v>
      </c>
      <c r="AF98" s="84" t="s">
        <v>625</v>
      </c>
      <c r="AG98" s="84">
        <v>0</v>
      </c>
      <c r="AH98" s="85">
        <v>0</v>
      </c>
      <c r="AI98" s="85">
        <v>0</v>
      </c>
      <c r="AJ98" s="86">
        <f>IF(OR(Processos!$H98="Alienação",Processos!$H98="Concessão"),"",(N98-AI98)-(AE98+AH98))</f>
        <v>0</v>
      </c>
      <c r="AK98" s="87">
        <f>IF(ISERROR((AJ98*100)/N98/100),"",(AJ98*100)/N98/100)</f>
        <v>0</v>
      </c>
      <c r="AL98" s="79" t="s">
        <v>145</v>
      </c>
      <c r="AM98" s="88">
        <v>44407</v>
      </c>
      <c r="AN98" s="89">
        <v>44419</v>
      </c>
      <c r="AO98" s="90">
        <f>IF(Tabela1[[#This Row],[Data de aprovação]]="","",Tabela1[[#This Row],[Data de aprovação]]-Tabela1[[#This Row],[Data de abertura]])</f>
        <v>12</v>
      </c>
      <c r="AP98" s="91"/>
      <c r="AMG98" s="93"/>
      <c r="AMH98" s="93"/>
      <c r="AMI98" s="93"/>
      <c r="AMJ98" s="93"/>
    </row>
    <row r="99" spans="1:1024" s="92" customFormat="1" ht="15" customHeight="1" x14ac:dyDescent="0.15">
      <c r="A99" s="74"/>
      <c r="B99" s="75">
        <v>94</v>
      </c>
      <c r="C99" s="76" t="s">
        <v>558</v>
      </c>
      <c r="D99" s="77" t="s">
        <v>75</v>
      </c>
      <c r="E99" s="77" t="s">
        <v>76</v>
      </c>
      <c r="F99" s="77" t="s">
        <v>585</v>
      </c>
      <c r="G99" s="77" t="s">
        <v>584</v>
      </c>
      <c r="H99" s="77" t="s">
        <v>59</v>
      </c>
      <c r="I99" s="77" t="s">
        <v>559</v>
      </c>
      <c r="J99" s="77" t="s">
        <v>245</v>
      </c>
      <c r="K99" s="78">
        <v>44421</v>
      </c>
      <c r="L99" s="79" t="s">
        <v>72</v>
      </c>
      <c r="M99" s="77" t="s">
        <v>96</v>
      </c>
      <c r="N99" s="80">
        <v>19296000</v>
      </c>
      <c r="O99" s="77">
        <v>1</v>
      </c>
      <c r="P99" s="77">
        <v>0</v>
      </c>
      <c r="Q99" s="77"/>
      <c r="R99" s="77"/>
      <c r="S99" s="77"/>
      <c r="T99" s="77"/>
      <c r="U99" s="81"/>
      <c r="V99" s="82"/>
      <c r="W99" s="77"/>
      <c r="X99" s="77"/>
      <c r="Y99" s="77"/>
      <c r="Z99" s="77"/>
      <c r="AA99" s="83"/>
      <c r="AB99" s="77"/>
      <c r="AC99" s="84"/>
      <c r="AD99" s="84"/>
      <c r="AE99" s="85"/>
      <c r="AF99" s="84"/>
      <c r="AG99" s="84"/>
      <c r="AH99" s="85"/>
      <c r="AI99" s="85"/>
      <c r="AJ99" s="86"/>
      <c r="AK99" s="87"/>
      <c r="AL99" s="79"/>
      <c r="AM99" s="88">
        <v>44391</v>
      </c>
      <c r="AN99" s="89"/>
      <c r="AO99" s="90" t="str">
        <f>IF(Tabela1[[#This Row],[Data de aprovação]]="","",Tabela1[[#This Row],[Data de aprovação]]-Tabela1[[#This Row],[Data de abertura]])</f>
        <v/>
      </c>
      <c r="AP99" s="91"/>
      <c r="AMG99" s="93"/>
      <c r="AMH99" s="93"/>
      <c r="AMI99" s="93"/>
      <c r="AMJ99" s="93"/>
    </row>
    <row r="100" spans="1:1024" s="92" customFormat="1" ht="15" customHeight="1" x14ac:dyDescent="0.15">
      <c r="A100" s="74"/>
      <c r="B100" s="75">
        <v>95</v>
      </c>
      <c r="C100" s="76" t="s">
        <v>586</v>
      </c>
      <c r="D100" s="77" t="s">
        <v>55</v>
      </c>
      <c r="E100" s="77" t="s">
        <v>56</v>
      </c>
      <c r="F100" s="77" t="s">
        <v>588</v>
      </c>
      <c r="G100" s="77" t="s">
        <v>58</v>
      </c>
      <c r="H100" s="77" t="s">
        <v>59</v>
      </c>
      <c r="I100" s="77" t="s">
        <v>587</v>
      </c>
      <c r="J100" s="77" t="s">
        <v>286</v>
      </c>
      <c r="K100" s="78">
        <v>44424</v>
      </c>
      <c r="L100" s="79" t="s">
        <v>72</v>
      </c>
      <c r="M100" s="77" t="s">
        <v>110</v>
      </c>
      <c r="N100" s="80">
        <v>9998547.1500000004</v>
      </c>
      <c r="O100" s="77">
        <v>2</v>
      </c>
      <c r="P100" s="77">
        <v>1</v>
      </c>
      <c r="Q100" s="77"/>
      <c r="R100" s="77"/>
      <c r="S100" s="77"/>
      <c r="T100" s="77"/>
      <c r="U100" s="81"/>
      <c r="V100" s="82"/>
      <c r="W100" s="77"/>
      <c r="X100" s="77"/>
      <c r="Y100" s="77"/>
      <c r="Z100" s="77"/>
      <c r="AA100" s="83"/>
      <c r="AB100" s="77" t="str">
        <f t="shared" ca="1" si="6"/>
        <v/>
      </c>
      <c r="AC100" s="84"/>
      <c r="AD100" s="84"/>
      <c r="AE100" s="85"/>
      <c r="AF100" s="84"/>
      <c r="AG100" s="84"/>
      <c r="AH100" s="85"/>
      <c r="AI100" s="85"/>
      <c r="AJ100" s="86">
        <f>IF(OR(Processos!$H100="Alienação",Processos!$H100="Concessão"),"",(N100-AI100)-(AE100+AH100))</f>
        <v>9998547.1500000004</v>
      </c>
      <c r="AK100" s="87">
        <f t="shared" si="7"/>
        <v>1</v>
      </c>
      <c r="AL100" s="79"/>
      <c r="AM100" s="88">
        <v>44372</v>
      </c>
      <c r="AN100" s="89"/>
      <c r="AO100" s="90" t="str">
        <f>IF(Tabela1[[#This Row],[Data de aprovação]]="","",Tabela1[[#This Row],[Data de aprovação]]-Tabela1[[#This Row],[Data de abertura]])</f>
        <v/>
      </c>
      <c r="AP100" s="91"/>
      <c r="AMG100" s="93"/>
      <c r="AMH100" s="93"/>
      <c r="AMI100" s="93"/>
      <c r="AMJ100" s="93"/>
    </row>
    <row r="101" spans="1:1024" s="92" customFormat="1" ht="15" customHeight="1" x14ac:dyDescent="0.15">
      <c r="A101" s="74"/>
      <c r="B101" s="75">
        <v>96</v>
      </c>
      <c r="C101" s="76" t="s">
        <v>589</v>
      </c>
      <c r="D101" s="77" t="s">
        <v>75</v>
      </c>
      <c r="E101" s="77" t="s">
        <v>76</v>
      </c>
      <c r="F101" s="77" t="s">
        <v>592</v>
      </c>
      <c r="G101" s="77" t="s">
        <v>594</v>
      </c>
      <c r="H101" s="77" t="s">
        <v>174</v>
      </c>
      <c r="I101" s="77" t="s">
        <v>590</v>
      </c>
      <c r="J101" s="77" t="s">
        <v>124</v>
      </c>
      <c r="K101" s="78">
        <v>44426</v>
      </c>
      <c r="L101" s="79" t="s">
        <v>222</v>
      </c>
      <c r="M101" s="77" t="s">
        <v>206</v>
      </c>
      <c r="N101" s="80">
        <v>96017.86</v>
      </c>
      <c r="O101" s="77">
        <v>77</v>
      </c>
      <c r="P101" s="77">
        <v>0</v>
      </c>
      <c r="Q101" s="77"/>
      <c r="R101" s="77"/>
      <c r="S101" s="77"/>
      <c r="T101" s="77"/>
      <c r="U101" s="81">
        <v>44448</v>
      </c>
      <c r="V101" s="82">
        <v>0.375</v>
      </c>
      <c r="W101" s="77"/>
      <c r="X101" s="77"/>
      <c r="Y101" s="77"/>
      <c r="Z101" s="77"/>
      <c r="AA101" s="83"/>
      <c r="AB101" s="77">
        <f t="shared" ca="1" si="6"/>
        <v>4</v>
      </c>
      <c r="AC101" s="84"/>
      <c r="AD101" s="84"/>
      <c r="AE101" s="85"/>
      <c r="AF101" s="84"/>
      <c r="AG101" s="84"/>
      <c r="AH101" s="85"/>
      <c r="AI101" s="85"/>
      <c r="AJ101" s="86">
        <f>IF(OR(Processos!$H101="Alienação",Processos!$H101="Concessão"),"",(N101-AI101)-(AE101+AH101))</f>
        <v>96017.86</v>
      </c>
      <c r="AK101" s="87">
        <f t="shared" si="7"/>
        <v>1</v>
      </c>
      <c r="AL101" s="79"/>
      <c r="AM101" s="88">
        <v>44333</v>
      </c>
      <c r="AN101" s="89">
        <v>44425</v>
      </c>
      <c r="AO101" s="90">
        <f>IF(Tabela1[[#This Row],[Data de aprovação]]="","",Tabela1[[#This Row],[Data de aprovação]]-Tabela1[[#This Row],[Data de abertura]])</f>
        <v>92</v>
      </c>
      <c r="AP101" s="91"/>
      <c r="AMG101" s="93"/>
      <c r="AMH101" s="93"/>
      <c r="AMI101" s="93"/>
      <c r="AMJ101" s="93"/>
    </row>
    <row r="102" spans="1:1024" s="92" customFormat="1" ht="15" customHeight="1" x14ac:dyDescent="0.15">
      <c r="A102" s="74"/>
      <c r="B102" s="75">
        <v>97</v>
      </c>
      <c r="C102" s="76" t="s">
        <v>591</v>
      </c>
      <c r="D102" s="77" t="s">
        <v>75</v>
      </c>
      <c r="E102" s="77" t="s">
        <v>76</v>
      </c>
      <c r="F102" s="77" t="s">
        <v>593</v>
      </c>
      <c r="G102" s="77" t="s">
        <v>595</v>
      </c>
      <c r="H102" s="77" t="s">
        <v>174</v>
      </c>
      <c r="I102" s="77" t="s">
        <v>590</v>
      </c>
      <c r="J102" s="77" t="s">
        <v>124</v>
      </c>
      <c r="K102" s="78">
        <v>44427</v>
      </c>
      <c r="L102" s="79" t="s">
        <v>222</v>
      </c>
      <c r="M102" s="77" t="s">
        <v>63</v>
      </c>
      <c r="N102" s="80">
        <v>163670.16</v>
      </c>
      <c r="O102" s="77">
        <v>80</v>
      </c>
      <c r="P102" s="77">
        <v>0</v>
      </c>
      <c r="Q102" s="77"/>
      <c r="R102" s="77"/>
      <c r="S102" s="77"/>
      <c r="T102" s="77"/>
      <c r="U102" s="81">
        <v>44441</v>
      </c>
      <c r="V102" s="82">
        <v>0.41666666666666713</v>
      </c>
      <c r="W102" s="77"/>
      <c r="X102" s="77"/>
      <c r="Y102" s="77"/>
      <c r="Z102" s="77"/>
      <c r="AA102" s="83"/>
      <c r="AB102" s="77">
        <f t="shared" ca="1" si="6"/>
        <v>11</v>
      </c>
      <c r="AC102" s="84"/>
      <c r="AD102" s="84"/>
      <c r="AE102" s="85"/>
      <c r="AF102" s="84"/>
      <c r="AG102" s="84"/>
      <c r="AH102" s="85"/>
      <c r="AI102" s="85"/>
      <c r="AJ102" s="86">
        <f>IF(OR(Processos!$H102="Alienação",Processos!$H102="Concessão"),"",(N102-AI102)-(AE102+AH102))</f>
        <v>163670.16</v>
      </c>
      <c r="AK102" s="87">
        <f t="shared" si="7"/>
        <v>1</v>
      </c>
      <c r="AL102" s="79"/>
      <c r="AM102" s="88">
        <v>44333</v>
      </c>
      <c r="AN102" s="89">
        <v>44425</v>
      </c>
      <c r="AO102" s="90">
        <f>IF(Tabela1[[#This Row],[Data de aprovação]]="","",Tabela1[[#This Row],[Data de aprovação]]-Tabela1[[#This Row],[Data de abertura]])</f>
        <v>92</v>
      </c>
      <c r="AP102" s="91"/>
      <c r="AMG102" s="93"/>
      <c r="AMH102" s="93"/>
      <c r="AMI102" s="93"/>
      <c r="AMJ102" s="93"/>
    </row>
    <row r="103" spans="1:1024" s="92" customFormat="1" ht="15" customHeight="1" x14ac:dyDescent="0.15">
      <c r="A103" s="74"/>
      <c r="B103" s="75">
        <v>99</v>
      </c>
      <c r="C103" s="76" t="s">
        <v>599</v>
      </c>
      <c r="D103" s="77" t="s">
        <v>75</v>
      </c>
      <c r="E103" s="77" t="s">
        <v>76</v>
      </c>
      <c r="F103" s="77" t="s">
        <v>603</v>
      </c>
      <c r="G103" s="77" t="s">
        <v>277</v>
      </c>
      <c r="H103" s="77" t="s">
        <v>174</v>
      </c>
      <c r="I103" s="77" t="s">
        <v>600</v>
      </c>
      <c r="J103" s="77" t="s">
        <v>323</v>
      </c>
      <c r="K103" s="78">
        <v>44449</v>
      </c>
      <c r="L103" s="79" t="s">
        <v>339</v>
      </c>
      <c r="M103" s="77" t="s">
        <v>105</v>
      </c>
      <c r="N103" s="80">
        <v>11814.4</v>
      </c>
      <c r="O103" s="77">
        <v>1</v>
      </c>
      <c r="P103" s="77">
        <v>0</v>
      </c>
      <c r="Q103" s="77"/>
      <c r="R103" s="77"/>
      <c r="S103" s="77"/>
      <c r="T103" s="77"/>
      <c r="U103" s="81">
        <v>44448</v>
      </c>
      <c r="V103" s="82">
        <v>0.35416666666666702</v>
      </c>
      <c r="W103" s="77"/>
      <c r="X103" s="77"/>
      <c r="Y103" s="77"/>
      <c r="Z103" s="77"/>
      <c r="AA103" s="83"/>
      <c r="AB103" s="77">
        <f ca="1">IF(U103="","",IF(AA103="",TODAY()-U103,IF(AA103-U103,AA103-U103,0)))</f>
        <v>4</v>
      </c>
      <c r="AC103" s="84"/>
      <c r="AD103" s="84"/>
      <c r="AE103" s="85"/>
      <c r="AF103" s="84"/>
      <c r="AG103" s="84"/>
      <c r="AH103" s="85"/>
      <c r="AI103" s="85"/>
      <c r="AJ103" s="86">
        <f>IF(OR(Processos!$H103="Alienação",Processos!$H103="Concessão"),"",(N103-AI103)-(AE103+AH103))</f>
        <v>11814.4</v>
      </c>
      <c r="AK103" s="87">
        <f>IF(ISERROR((AJ103*100)/N103/100),"",(AJ103*100)/N103/100)</f>
        <v>1</v>
      </c>
      <c r="AL103" s="79"/>
      <c r="AM103" s="88">
        <v>44385</v>
      </c>
      <c r="AN103" s="89">
        <v>44426</v>
      </c>
      <c r="AO103" s="90">
        <f>IF(Tabela1[[#This Row],[Data de aprovação]]="","",Tabela1[[#This Row],[Data de aprovação]]-Tabela1[[#This Row],[Data de abertura]])</f>
        <v>41</v>
      </c>
      <c r="AP103" s="91"/>
      <c r="AMG103" s="93"/>
      <c r="AMH103" s="93"/>
      <c r="AMI103" s="93"/>
      <c r="AMJ103" s="93"/>
    </row>
    <row r="104" spans="1:1024" s="92" customFormat="1" ht="15" customHeight="1" x14ac:dyDescent="0.15">
      <c r="A104" s="74"/>
      <c r="B104" s="75">
        <v>98</v>
      </c>
      <c r="C104" s="76" t="s">
        <v>597</v>
      </c>
      <c r="D104" s="77" t="s">
        <v>75</v>
      </c>
      <c r="E104" s="77" t="s">
        <v>76</v>
      </c>
      <c r="F104" s="77" t="s">
        <v>604</v>
      </c>
      <c r="G104" s="77" t="s">
        <v>281</v>
      </c>
      <c r="H104" s="77" t="s">
        <v>174</v>
      </c>
      <c r="I104" s="77" t="s">
        <v>598</v>
      </c>
      <c r="J104" s="77" t="s">
        <v>137</v>
      </c>
      <c r="K104" s="78">
        <v>44428</v>
      </c>
      <c r="L104" s="79" t="s">
        <v>222</v>
      </c>
      <c r="M104" s="77" t="s">
        <v>206</v>
      </c>
      <c r="N104" s="80">
        <v>1061563.95</v>
      </c>
      <c r="O104" s="77">
        <v>25</v>
      </c>
      <c r="P104" s="77">
        <v>0</v>
      </c>
      <c r="Q104" s="77"/>
      <c r="R104" s="77"/>
      <c r="S104" s="77"/>
      <c r="T104" s="77"/>
      <c r="U104" s="81">
        <v>44455</v>
      </c>
      <c r="V104" s="82">
        <v>0.375</v>
      </c>
      <c r="W104" s="77"/>
      <c r="X104" s="77"/>
      <c r="Y104" s="77"/>
      <c r="Z104" s="77"/>
      <c r="AA104" s="83"/>
      <c r="AB104" s="77">
        <f t="shared" ca="1" si="6"/>
        <v>-3</v>
      </c>
      <c r="AC104" s="84"/>
      <c r="AD104" s="84"/>
      <c r="AE104" s="85"/>
      <c r="AF104" s="84"/>
      <c r="AG104" s="84"/>
      <c r="AH104" s="85"/>
      <c r="AI104" s="85"/>
      <c r="AJ104" s="86">
        <f>IF(OR(Processos!$H104="Alienação",Processos!$H104="Concessão"),"",(N104-AI104)-(AE104+AH104))</f>
        <v>1061563.95</v>
      </c>
      <c r="AK104" s="87">
        <f t="shared" si="7"/>
        <v>1</v>
      </c>
      <c r="AL104" s="79"/>
      <c r="AM104" s="88">
        <v>44333</v>
      </c>
      <c r="AN104" s="89">
        <v>44426</v>
      </c>
      <c r="AO104" s="90">
        <f>IF(Tabela1[[#This Row],[Data de aprovação]]="","",Tabela1[[#This Row],[Data de aprovação]]-Tabela1[[#This Row],[Data de abertura]])</f>
        <v>93</v>
      </c>
      <c r="AP104" s="91"/>
      <c r="AMG104" s="93"/>
      <c r="AMH104" s="93"/>
      <c r="AMI104" s="93"/>
      <c r="AMJ104" s="93"/>
    </row>
    <row r="105" spans="1:1024" s="92" customFormat="1" ht="15" customHeight="1" x14ac:dyDescent="0.15">
      <c r="A105" s="74"/>
      <c r="B105" s="75">
        <v>100</v>
      </c>
      <c r="C105" s="76" t="s">
        <v>601</v>
      </c>
      <c r="D105" s="77" t="s">
        <v>75</v>
      </c>
      <c r="E105" s="77" t="s">
        <v>76</v>
      </c>
      <c r="F105" s="77" t="s">
        <v>605</v>
      </c>
      <c r="G105" s="77" t="s">
        <v>284</v>
      </c>
      <c r="H105" s="77" t="s">
        <v>174</v>
      </c>
      <c r="I105" s="77" t="s">
        <v>602</v>
      </c>
      <c r="J105" s="77" t="s">
        <v>80</v>
      </c>
      <c r="K105" s="78">
        <v>44427</v>
      </c>
      <c r="L105" s="79" t="s">
        <v>339</v>
      </c>
      <c r="M105" s="77" t="s">
        <v>96</v>
      </c>
      <c r="N105" s="80">
        <v>2252245.5099999998</v>
      </c>
      <c r="O105" s="77">
        <v>104</v>
      </c>
      <c r="P105" s="77">
        <v>0</v>
      </c>
      <c r="Q105" s="77" t="s">
        <v>82</v>
      </c>
      <c r="R105" s="77" t="s">
        <v>83</v>
      </c>
      <c r="S105" s="77" t="s">
        <v>82</v>
      </c>
      <c r="T105" s="77" t="s">
        <v>83</v>
      </c>
      <c r="U105" s="81">
        <v>44447</v>
      </c>
      <c r="V105" s="82">
        <v>0.60416666666666696</v>
      </c>
      <c r="W105" s="77"/>
      <c r="X105" s="77"/>
      <c r="Y105" s="77"/>
      <c r="Z105" s="77"/>
      <c r="AA105" s="83"/>
      <c r="AB105" s="77">
        <f t="shared" ref="AB105:AB135" ca="1" si="12">IF(U105="","",IF(AA105="",TODAY()-U105,IF(AA105-U105,AA105-U105,0)))</f>
        <v>5</v>
      </c>
      <c r="AC105" s="84"/>
      <c r="AD105" s="84"/>
      <c r="AE105" s="85"/>
      <c r="AF105" s="84"/>
      <c r="AG105" s="84">
        <v>35</v>
      </c>
      <c r="AH105" s="85"/>
      <c r="AI105" s="85"/>
      <c r="AJ105" s="86">
        <f>IF(OR(Processos!$H105="Alienação",Processos!$H105="Concessão"),"",(N105-AI105)-(AE105+AH105))</f>
        <v>2252245.5099999998</v>
      </c>
      <c r="AK105" s="87">
        <f t="shared" ref="AK105:AK135" si="13">IF(ISERROR((AJ105*100)/N105/100),"",(AJ105*100)/N105/100)</f>
        <v>1</v>
      </c>
      <c r="AL105" s="79"/>
      <c r="AM105" s="88">
        <v>44333</v>
      </c>
      <c r="AN105" s="89">
        <v>44426</v>
      </c>
      <c r="AO105" s="90">
        <f>IF(Tabela1[[#This Row],[Data de aprovação]]="","",Tabela1[[#This Row],[Data de aprovação]]-Tabela1[[#This Row],[Data de abertura]])</f>
        <v>93</v>
      </c>
      <c r="AP105" s="91" t="s">
        <v>621</v>
      </c>
      <c r="AMG105" s="93"/>
      <c r="AMH105" s="93"/>
      <c r="AMI105" s="93"/>
      <c r="AMJ105" s="93"/>
    </row>
    <row r="106" spans="1:1024" s="92" customFormat="1" ht="15" customHeight="1" x14ac:dyDescent="0.15">
      <c r="A106" s="74"/>
      <c r="B106" s="75">
        <v>101</v>
      </c>
      <c r="C106" s="76" t="s">
        <v>611</v>
      </c>
      <c r="D106" s="77" t="s">
        <v>66</v>
      </c>
      <c r="E106" s="77" t="s">
        <v>67</v>
      </c>
      <c r="F106" s="77" t="s">
        <v>613</v>
      </c>
      <c r="G106" s="77" t="s">
        <v>58</v>
      </c>
      <c r="H106" s="77" t="s">
        <v>69</v>
      </c>
      <c r="I106" s="77" t="s">
        <v>612</v>
      </c>
      <c r="J106" s="77" t="s">
        <v>272</v>
      </c>
      <c r="K106" s="78">
        <v>44435</v>
      </c>
      <c r="L106" s="79" t="s">
        <v>72</v>
      </c>
      <c r="M106" s="77" t="s">
        <v>73</v>
      </c>
      <c r="N106" s="80">
        <v>251784.95999999999</v>
      </c>
      <c r="O106" s="77">
        <v>1</v>
      </c>
      <c r="P106" s="77">
        <v>0</v>
      </c>
      <c r="Q106" s="77"/>
      <c r="R106" s="77"/>
      <c r="S106" s="77"/>
      <c r="T106" s="77"/>
      <c r="U106" s="81"/>
      <c r="V106" s="82"/>
      <c r="W106" s="77"/>
      <c r="X106" s="77"/>
      <c r="Y106" s="77"/>
      <c r="Z106" s="77"/>
      <c r="AA106" s="83"/>
      <c r="AB106" s="77" t="str">
        <f ca="1">IF(U106="","",IF(AA106="",TODAY()-U106,IF(AA106-U106,AA106-U106,0)))</f>
        <v/>
      </c>
      <c r="AC106" s="84"/>
      <c r="AD106" s="84"/>
      <c r="AE106" s="85"/>
      <c r="AF106" s="84"/>
      <c r="AG106" s="84"/>
      <c r="AH106" s="85"/>
      <c r="AI106" s="85"/>
      <c r="AJ106" s="86" t="str">
        <f>IF(OR(Processos!$H106="Alienação",Processos!$H106="Concessão"),"",(N106-AI106)-(AE106+AH106))</f>
        <v/>
      </c>
      <c r="AK106" s="87" t="str">
        <f>IF(ISERROR((AJ106*100)/N106/100),"",(AJ106*100)/N106/100)</f>
        <v/>
      </c>
      <c r="AL106" s="79"/>
      <c r="AM106" s="88">
        <v>44433</v>
      </c>
      <c r="AN106" s="89"/>
      <c r="AO106" s="90" t="str">
        <f>IF(Tabela1[[#This Row],[Data de aprovação]]="","",Tabela1[[#This Row],[Data de aprovação]]-Tabela1[[#This Row],[Data de abertura]])</f>
        <v/>
      </c>
      <c r="AP106" s="91"/>
      <c r="AMG106" s="93"/>
      <c r="AMH106" s="93"/>
      <c r="AMI106" s="93"/>
      <c r="AMJ106" s="93"/>
    </row>
    <row r="107" spans="1:1024" s="92" customFormat="1" ht="15" customHeight="1" x14ac:dyDescent="0.15">
      <c r="A107" s="247"/>
      <c r="B107" s="75">
        <v>102</v>
      </c>
      <c r="C107" s="76" t="s">
        <v>622</v>
      </c>
      <c r="D107" s="77" t="s">
        <v>75</v>
      </c>
      <c r="E107" s="77" t="s">
        <v>76</v>
      </c>
      <c r="F107" s="77" t="s">
        <v>624</v>
      </c>
      <c r="G107" s="77" t="s">
        <v>633</v>
      </c>
      <c r="H107" s="77" t="s">
        <v>59</v>
      </c>
      <c r="I107" s="77" t="s">
        <v>623</v>
      </c>
      <c r="J107" s="77" t="s">
        <v>101</v>
      </c>
      <c r="K107" s="78">
        <v>44448</v>
      </c>
      <c r="L107" s="79" t="s">
        <v>72</v>
      </c>
      <c r="M107" s="77" t="s">
        <v>105</v>
      </c>
      <c r="N107" s="80">
        <v>2521794.11</v>
      </c>
      <c r="O107" s="77">
        <v>44</v>
      </c>
      <c r="P107" s="77">
        <v>1</v>
      </c>
      <c r="Q107" s="77"/>
      <c r="R107" s="77"/>
      <c r="S107" s="77"/>
      <c r="T107" s="77"/>
      <c r="U107" s="81"/>
      <c r="V107" s="82"/>
      <c r="W107" s="77"/>
      <c r="X107" s="77"/>
      <c r="Y107" s="77"/>
      <c r="Z107" s="77"/>
      <c r="AA107" s="83"/>
      <c r="AB107" s="77" t="str">
        <f ca="1">IF(U107="","",IF(AA107="",TODAY()-U107,IF(AA107-U107,AA107-U107,0)))</f>
        <v/>
      </c>
      <c r="AC107" s="84"/>
      <c r="AD107" s="84"/>
      <c r="AE107" s="85"/>
      <c r="AF107" s="84"/>
      <c r="AG107" s="84"/>
      <c r="AH107" s="85"/>
      <c r="AI107" s="85"/>
      <c r="AJ107" s="86">
        <f>IF(OR(Processos!$H107="Alienação",Processos!$H107="Concessão"),"",(N107-AI107)-(AE107+AH107))</f>
        <v>2521794.11</v>
      </c>
      <c r="AK107" s="87">
        <f>IF(ISERROR((AJ107*100)/N107/100),"",(AJ107*100)/N107/100)</f>
        <v>1</v>
      </c>
      <c r="AL107" s="79"/>
      <c r="AM107" s="88">
        <v>44357</v>
      </c>
      <c r="AN107" s="89"/>
      <c r="AO107" s="90" t="str">
        <f>IF(Tabela1[[#This Row],[Data de aprovação]]="","",Tabela1[[#This Row],[Data de aprovação]]-Tabela1[[#This Row],[Data de abertura]])</f>
        <v/>
      </c>
      <c r="AP107" s="91"/>
      <c r="AMG107" s="93"/>
      <c r="AMH107" s="93"/>
      <c r="AMI107" s="93"/>
      <c r="AMJ107" s="93"/>
    </row>
    <row r="108" spans="1:1024" s="92" customFormat="1" ht="15" customHeight="1" x14ac:dyDescent="0.15">
      <c r="A108" s="247"/>
      <c r="B108" s="75">
        <v>103</v>
      </c>
      <c r="C108" s="76" t="s">
        <v>614</v>
      </c>
      <c r="D108" s="77" t="s">
        <v>55</v>
      </c>
      <c r="E108" s="77" t="s">
        <v>56</v>
      </c>
      <c r="F108" s="77" t="s">
        <v>626</v>
      </c>
      <c r="G108" s="77" t="s">
        <v>58</v>
      </c>
      <c r="H108" s="77" t="s">
        <v>59</v>
      </c>
      <c r="I108" s="77" t="s">
        <v>615</v>
      </c>
      <c r="J108" s="77" t="s">
        <v>80</v>
      </c>
      <c r="K108" s="78">
        <v>44449</v>
      </c>
      <c r="L108" s="79" t="s">
        <v>62</v>
      </c>
      <c r="M108" s="77" t="s">
        <v>63</v>
      </c>
      <c r="N108" s="80">
        <v>26128444.5</v>
      </c>
      <c r="O108" s="77">
        <v>2</v>
      </c>
      <c r="P108" s="77">
        <v>1</v>
      </c>
      <c r="Q108" s="77"/>
      <c r="R108" s="77"/>
      <c r="S108" s="77"/>
      <c r="T108" s="77"/>
      <c r="U108" s="81"/>
      <c r="V108" s="82"/>
      <c r="W108" s="77"/>
      <c r="X108" s="77"/>
      <c r="Y108" s="77"/>
      <c r="Z108" s="77"/>
      <c r="AA108" s="83"/>
      <c r="AB108" s="77" t="str">
        <f t="shared" ref="AB108:AB109" ca="1" si="14">IF(U108="","",IF(AA108="",TODAY()-U108,IF(AA108-U108,AA108-U108,0)))</f>
        <v/>
      </c>
      <c r="AC108" s="84"/>
      <c r="AD108" s="84"/>
      <c r="AE108" s="85"/>
      <c r="AF108" s="84"/>
      <c r="AG108" s="84"/>
      <c r="AH108" s="85"/>
      <c r="AI108" s="85"/>
      <c r="AJ108" s="86">
        <f>IF(OR(Processos!$H108="Alienação",Processos!$H108="Concessão"),"",(N108-AI108)-(AE108+AH108))</f>
        <v>26128444.5</v>
      </c>
      <c r="AK108" s="87">
        <f t="shared" ref="AK108:AK109" si="15">IF(ISERROR((AJ108*100)/N108/100),"",(AJ108*100)/N108/100)</f>
        <v>1</v>
      </c>
      <c r="AL108" s="79"/>
      <c r="AM108" s="88">
        <v>44391</v>
      </c>
      <c r="AN108" s="89"/>
      <c r="AO108" s="90" t="str">
        <f>IF(Tabela1[[#This Row],[Data de aprovação]]="","",Tabela1[[#This Row],[Data de aprovação]]-Tabela1[[#This Row],[Data de abertura]])</f>
        <v/>
      </c>
      <c r="AP108" s="91"/>
      <c r="AMG108" s="93"/>
      <c r="AMH108" s="93"/>
      <c r="AMI108" s="93"/>
      <c r="AMJ108" s="93"/>
    </row>
    <row r="109" spans="1:1024" s="92" customFormat="1" ht="15" customHeight="1" x14ac:dyDescent="0.15">
      <c r="A109" s="247"/>
      <c r="B109" s="75">
        <v>104</v>
      </c>
      <c r="C109" s="76" t="s">
        <v>629</v>
      </c>
      <c r="D109" s="77" t="s">
        <v>75</v>
      </c>
      <c r="E109" s="77" t="s">
        <v>76</v>
      </c>
      <c r="F109" s="77" t="s">
        <v>631</v>
      </c>
      <c r="G109" s="77" t="s">
        <v>634</v>
      </c>
      <c r="H109" s="77" t="s">
        <v>59</v>
      </c>
      <c r="I109" s="77" t="s">
        <v>630</v>
      </c>
      <c r="J109" s="77" t="s">
        <v>137</v>
      </c>
      <c r="K109" s="78">
        <v>44449</v>
      </c>
      <c r="L109" s="79" t="s">
        <v>72</v>
      </c>
      <c r="M109" s="77" t="s">
        <v>110</v>
      </c>
      <c r="N109" s="80">
        <v>27504.6</v>
      </c>
      <c r="O109" s="77">
        <v>4</v>
      </c>
      <c r="P109" s="77">
        <v>1</v>
      </c>
      <c r="Q109" s="77"/>
      <c r="R109" s="77"/>
      <c r="S109" s="77"/>
      <c r="T109" s="77"/>
      <c r="U109" s="81"/>
      <c r="V109" s="82"/>
      <c r="W109" s="77"/>
      <c r="X109" s="77"/>
      <c r="Y109" s="77"/>
      <c r="Z109" s="77"/>
      <c r="AA109" s="83"/>
      <c r="AB109" s="77" t="str">
        <f t="shared" ca="1" si="14"/>
        <v/>
      </c>
      <c r="AC109" s="84"/>
      <c r="AD109" s="84"/>
      <c r="AE109" s="85"/>
      <c r="AF109" s="84"/>
      <c r="AG109" s="84"/>
      <c r="AH109" s="85"/>
      <c r="AI109" s="85"/>
      <c r="AJ109" s="86">
        <f>IF(OR(Processos!$H109="Alienação",Processos!$H109="Concessão"),"",(N109-AI109)-(AE109+AH109))</f>
        <v>27504.6</v>
      </c>
      <c r="AK109" s="87">
        <f t="shared" si="15"/>
        <v>1</v>
      </c>
      <c r="AL109" s="79"/>
      <c r="AM109" s="88">
        <v>44428</v>
      </c>
      <c r="AN109" s="89"/>
      <c r="AO109" s="90" t="str">
        <f>IF(Tabela1[[#This Row],[Data de aprovação]]="","",Tabela1[[#This Row],[Data de aprovação]]-Tabela1[[#This Row],[Data de abertura]])</f>
        <v/>
      </c>
      <c r="AP109" s="91"/>
      <c r="AMG109" s="93"/>
      <c r="AMH109" s="93"/>
      <c r="AMI109" s="93"/>
      <c r="AMJ109" s="93"/>
    </row>
    <row r="110" spans="1:1024" s="92" customFormat="1" ht="15" customHeight="1" x14ac:dyDescent="0.15">
      <c r="A110" s="74"/>
      <c r="B110" s="75">
        <v>105</v>
      </c>
      <c r="C110" s="76" t="s">
        <v>606</v>
      </c>
      <c r="D110" s="77" t="s">
        <v>75</v>
      </c>
      <c r="E110" s="77" t="s">
        <v>76</v>
      </c>
      <c r="F110" s="77"/>
      <c r="G110" s="77"/>
      <c r="H110" s="77" t="s">
        <v>174</v>
      </c>
      <c r="I110" s="77" t="s">
        <v>607</v>
      </c>
      <c r="J110" s="77" t="s">
        <v>137</v>
      </c>
      <c r="K110" s="78">
        <v>44433</v>
      </c>
      <c r="L110" s="79" t="s">
        <v>62</v>
      </c>
      <c r="M110" s="77" t="s">
        <v>206</v>
      </c>
      <c r="N110" s="80">
        <v>5011019.04</v>
      </c>
      <c r="O110" s="77">
        <v>90</v>
      </c>
      <c r="P110" s="77">
        <v>0</v>
      </c>
      <c r="Q110" s="77"/>
      <c r="R110" s="77"/>
      <c r="S110" s="77"/>
      <c r="T110" s="77"/>
      <c r="U110" s="81"/>
      <c r="V110" s="82"/>
      <c r="W110" s="77"/>
      <c r="X110" s="77"/>
      <c r="Y110" s="77"/>
      <c r="Z110" s="77"/>
      <c r="AA110" s="83"/>
      <c r="AB110" s="77" t="str">
        <f t="shared" ca="1" si="12"/>
        <v/>
      </c>
      <c r="AC110" s="84"/>
      <c r="AD110" s="84"/>
      <c r="AE110" s="85"/>
      <c r="AF110" s="84"/>
      <c r="AG110" s="84"/>
      <c r="AH110" s="85"/>
      <c r="AI110" s="85"/>
      <c r="AJ110" s="86">
        <f>IF(OR(Processos!$H110="Alienação",Processos!$H110="Concessão"),"",(N110-AI110)-(AE110+AH110))</f>
        <v>5011019.04</v>
      </c>
      <c r="AK110" s="87">
        <f t="shared" si="13"/>
        <v>1</v>
      </c>
      <c r="AL110" s="79"/>
      <c r="AM110" s="88">
        <v>44333</v>
      </c>
      <c r="AN110" s="89"/>
      <c r="AO110" s="90" t="str">
        <f>IF(Tabela1[[#This Row],[Data de aprovação]]="","",Tabela1[[#This Row],[Data de aprovação]]-Tabela1[[#This Row],[Data de abertura]])</f>
        <v/>
      </c>
      <c r="AP110" s="91" t="s">
        <v>608</v>
      </c>
      <c r="AMG110" s="93"/>
      <c r="AMH110" s="93"/>
      <c r="AMI110" s="93"/>
      <c r="AMJ110" s="93"/>
    </row>
    <row r="111" spans="1:1024" s="92" customFormat="1" ht="15" customHeight="1" x14ac:dyDescent="0.15">
      <c r="A111" s="74"/>
      <c r="B111" s="75">
        <v>106</v>
      </c>
      <c r="C111" s="76"/>
      <c r="D111" s="77"/>
      <c r="E111" s="77"/>
      <c r="F111" s="77"/>
      <c r="G111" s="77"/>
      <c r="H111" s="77"/>
      <c r="I111" s="77"/>
      <c r="J111" s="77"/>
      <c r="K111" s="78"/>
      <c r="L111" s="79"/>
      <c r="M111" s="77"/>
      <c r="N111" s="80"/>
      <c r="O111" s="77"/>
      <c r="P111" s="77"/>
      <c r="Q111" s="77"/>
      <c r="R111" s="77"/>
      <c r="S111" s="77"/>
      <c r="T111" s="77"/>
      <c r="U111" s="81"/>
      <c r="V111" s="82"/>
      <c r="W111" s="77"/>
      <c r="X111" s="77"/>
      <c r="Y111" s="77"/>
      <c r="Z111" s="77"/>
      <c r="AA111" s="83"/>
      <c r="AB111" s="77" t="str">
        <f t="shared" ca="1" si="12"/>
        <v/>
      </c>
      <c r="AC111" s="84"/>
      <c r="AD111" s="84"/>
      <c r="AE111" s="85"/>
      <c r="AF111" s="84"/>
      <c r="AG111" s="84"/>
      <c r="AH111" s="85"/>
      <c r="AI111" s="85"/>
      <c r="AJ111" s="86">
        <f>IF(OR(Processos!$H111="Alienação",Processos!$H111="Concessão"),"",(N111-AI111)-(AE111+AH111))</f>
        <v>0</v>
      </c>
      <c r="AK111" s="87" t="str">
        <f t="shared" si="13"/>
        <v/>
      </c>
      <c r="AL111" s="79"/>
      <c r="AM111" s="88"/>
      <c r="AN111" s="89"/>
      <c r="AO111" s="90" t="str">
        <f>IF(Tabela1[[#This Row],[Data de aprovação]]="","",Tabela1[[#This Row],[Data de aprovação]]-Tabela1[[#This Row],[Data de abertura]])</f>
        <v/>
      </c>
      <c r="AP111" s="91"/>
      <c r="AMG111" s="93"/>
      <c r="AMH111" s="93"/>
      <c r="AMI111" s="93"/>
      <c r="AMJ111" s="93"/>
    </row>
    <row r="112" spans="1:1024" s="92" customFormat="1" ht="15" customHeight="1" x14ac:dyDescent="0.15">
      <c r="A112" s="74"/>
      <c r="B112" s="75">
        <v>107</v>
      </c>
      <c r="C112" s="76"/>
      <c r="D112" s="77"/>
      <c r="E112" s="77"/>
      <c r="F112" s="77"/>
      <c r="G112" s="77"/>
      <c r="H112" s="77"/>
      <c r="I112" s="77"/>
      <c r="J112" s="77"/>
      <c r="K112" s="78"/>
      <c r="L112" s="79"/>
      <c r="M112" s="77"/>
      <c r="N112" s="80"/>
      <c r="O112" s="77"/>
      <c r="P112" s="77"/>
      <c r="Q112" s="77"/>
      <c r="R112" s="77"/>
      <c r="S112" s="77"/>
      <c r="T112" s="77"/>
      <c r="U112" s="81"/>
      <c r="V112" s="82"/>
      <c r="W112" s="77"/>
      <c r="X112" s="77"/>
      <c r="Y112" s="77"/>
      <c r="Z112" s="77"/>
      <c r="AA112" s="83"/>
      <c r="AB112" s="77" t="str">
        <f t="shared" ca="1" si="12"/>
        <v/>
      </c>
      <c r="AC112" s="84"/>
      <c r="AD112" s="84"/>
      <c r="AE112" s="85"/>
      <c r="AF112" s="84"/>
      <c r="AG112" s="84"/>
      <c r="AH112" s="85"/>
      <c r="AI112" s="85"/>
      <c r="AJ112" s="86">
        <f>IF(OR(Processos!$H112="Alienação",Processos!$H112="Concessão"),"",(N112-AI112)-(AE112+AH112))</f>
        <v>0</v>
      </c>
      <c r="AK112" s="87" t="str">
        <f t="shared" si="13"/>
        <v/>
      </c>
      <c r="AL112" s="79"/>
      <c r="AM112" s="88"/>
      <c r="AN112" s="89"/>
      <c r="AO112" s="90" t="str">
        <f>IF(Tabela1[[#This Row],[Data de aprovação]]="","",Tabela1[[#This Row],[Data de aprovação]]-Tabela1[[#This Row],[Data de abertura]])</f>
        <v/>
      </c>
      <c r="AP112" s="91"/>
      <c r="AMG112" s="93"/>
      <c r="AMH112" s="93"/>
      <c r="AMI112" s="93"/>
      <c r="AMJ112" s="93"/>
    </row>
    <row r="113" spans="1:1024" s="92" customFormat="1" ht="15" customHeight="1" x14ac:dyDescent="0.15">
      <c r="A113" s="74"/>
      <c r="B113" s="75">
        <v>108</v>
      </c>
      <c r="C113" s="76"/>
      <c r="D113" s="77"/>
      <c r="E113" s="77"/>
      <c r="F113" s="77"/>
      <c r="G113" s="77"/>
      <c r="H113" s="77"/>
      <c r="I113" s="77"/>
      <c r="J113" s="77"/>
      <c r="K113" s="78"/>
      <c r="L113" s="79"/>
      <c r="M113" s="77"/>
      <c r="N113" s="80"/>
      <c r="O113" s="77"/>
      <c r="P113" s="77"/>
      <c r="Q113" s="77"/>
      <c r="R113" s="77"/>
      <c r="S113" s="77"/>
      <c r="T113" s="77"/>
      <c r="U113" s="81"/>
      <c r="V113" s="82"/>
      <c r="W113" s="77"/>
      <c r="X113" s="77"/>
      <c r="Y113" s="77"/>
      <c r="Z113" s="77"/>
      <c r="AA113" s="83"/>
      <c r="AB113" s="77" t="str">
        <f t="shared" ca="1" si="12"/>
        <v/>
      </c>
      <c r="AC113" s="84"/>
      <c r="AD113" s="84"/>
      <c r="AE113" s="85"/>
      <c r="AF113" s="84"/>
      <c r="AG113" s="84"/>
      <c r="AH113" s="85"/>
      <c r="AI113" s="85"/>
      <c r="AJ113" s="86">
        <f>IF(OR(Processos!$H113="Alienação",Processos!$H113="Concessão"),"",(N113-AI113)-(AE113+AH113))</f>
        <v>0</v>
      </c>
      <c r="AK113" s="87" t="str">
        <f t="shared" si="13"/>
        <v/>
      </c>
      <c r="AL113" s="79"/>
      <c r="AM113" s="88"/>
      <c r="AN113" s="89"/>
      <c r="AO113" s="90" t="str">
        <f>IF(Tabela1[[#This Row],[Data de aprovação]]="","",Tabela1[[#This Row],[Data de aprovação]]-Tabela1[[#This Row],[Data de abertura]])</f>
        <v/>
      </c>
      <c r="AP113" s="91"/>
      <c r="AMG113" s="93"/>
      <c r="AMH113" s="93"/>
      <c r="AMI113" s="93"/>
      <c r="AMJ113" s="93"/>
    </row>
    <row r="114" spans="1:1024" s="92" customFormat="1" ht="15" customHeight="1" x14ac:dyDescent="0.15">
      <c r="A114" s="74"/>
      <c r="B114" s="75">
        <v>109</v>
      </c>
      <c r="C114" s="76"/>
      <c r="D114" s="77"/>
      <c r="E114" s="77"/>
      <c r="F114" s="77"/>
      <c r="G114" s="77"/>
      <c r="H114" s="77"/>
      <c r="I114" s="77"/>
      <c r="J114" s="77"/>
      <c r="K114" s="78"/>
      <c r="L114" s="79"/>
      <c r="M114" s="77"/>
      <c r="N114" s="80"/>
      <c r="O114" s="77"/>
      <c r="P114" s="77"/>
      <c r="Q114" s="77"/>
      <c r="R114" s="77"/>
      <c r="S114" s="77"/>
      <c r="T114" s="77"/>
      <c r="U114" s="81"/>
      <c r="V114" s="82"/>
      <c r="W114" s="77"/>
      <c r="X114" s="77"/>
      <c r="Y114" s="77"/>
      <c r="Z114" s="77"/>
      <c r="AA114" s="83"/>
      <c r="AB114" s="77" t="str">
        <f t="shared" ca="1" si="12"/>
        <v/>
      </c>
      <c r="AC114" s="84"/>
      <c r="AD114" s="84"/>
      <c r="AE114" s="85"/>
      <c r="AF114" s="84"/>
      <c r="AG114" s="84"/>
      <c r="AH114" s="85"/>
      <c r="AI114" s="85"/>
      <c r="AJ114" s="86">
        <f>IF(OR(Processos!$H114="Alienação",Processos!$H114="Concessão"),"",(N114-AI114)-(AE114+AH114))</f>
        <v>0</v>
      </c>
      <c r="AK114" s="87" t="str">
        <f t="shared" si="13"/>
        <v/>
      </c>
      <c r="AL114" s="79"/>
      <c r="AM114" s="88"/>
      <c r="AN114" s="89"/>
      <c r="AO114" s="90" t="str">
        <f>IF(Tabela1[[#This Row],[Data de aprovação]]="","",Tabela1[[#This Row],[Data de aprovação]]-Tabela1[[#This Row],[Data de abertura]])</f>
        <v/>
      </c>
      <c r="AP114" s="91"/>
      <c r="AMG114" s="93"/>
      <c r="AMH114" s="93"/>
      <c r="AMI114" s="93"/>
      <c r="AMJ114" s="93"/>
    </row>
    <row r="115" spans="1:1024" s="92" customFormat="1" ht="15" customHeight="1" x14ac:dyDescent="0.15">
      <c r="A115" s="74"/>
      <c r="B115" s="75">
        <v>110</v>
      </c>
      <c r="C115" s="76"/>
      <c r="D115" s="77"/>
      <c r="E115" s="77"/>
      <c r="F115" s="77"/>
      <c r="G115" s="77"/>
      <c r="H115" s="77"/>
      <c r="I115" s="77"/>
      <c r="J115" s="77"/>
      <c r="K115" s="78"/>
      <c r="L115" s="79"/>
      <c r="M115" s="77"/>
      <c r="N115" s="80"/>
      <c r="O115" s="77"/>
      <c r="P115" s="77"/>
      <c r="Q115" s="77"/>
      <c r="R115" s="77"/>
      <c r="S115" s="77"/>
      <c r="T115" s="77"/>
      <c r="U115" s="81"/>
      <c r="V115" s="82"/>
      <c r="W115" s="77"/>
      <c r="X115" s="77"/>
      <c r="Y115" s="77"/>
      <c r="Z115" s="77"/>
      <c r="AA115" s="83"/>
      <c r="AB115" s="77" t="str">
        <f t="shared" ca="1" si="12"/>
        <v/>
      </c>
      <c r="AC115" s="84"/>
      <c r="AD115" s="84"/>
      <c r="AE115" s="85"/>
      <c r="AF115" s="84"/>
      <c r="AG115" s="84"/>
      <c r="AH115" s="85"/>
      <c r="AI115" s="85"/>
      <c r="AJ115" s="86">
        <f>IF(OR(Processos!$H115="Alienação",Processos!$H115="Concessão"),"",(N115-AI115)-(AE115+AH115))</f>
        <v>0</v>
      </c>
      <c r="AK115" s="87" t="str">
        <f t="shared" si="13"/>
        <v/>
      </c>
      <c r="AL115" s="79"/>
      <c r="AM115" s="88"/>
      <c r="AN115" s="89"/>
      <c r="AO115" s="90" t="str">
        <f>IF(Tabela1[[#This Row],[Data de aprovação]]="","",Tabela1[[#This Row],[Data de aprovação]]-Tabela1[[#This Row],[Data de abertura]])</f>
        <v/>
      </c>
      <c r="AP115" s="91"/>
      <c r="AMG115" s="93"/>
      <c r="AMH115" s="93"/>
      <c r="AMI115" s="93"/>
      <c r="AMJ115" s="93"/>
    </row>
    <row r="116" spans="1:1024" s="92" customFormat="1" ht="15" customHeight="1" x14ac:dyDescent="0.15">
      <c r="A116" s="74"/>
      <c r="B116" s="75">
        <v>111</v>
      </c>
      <c r="C116" s="76"/>
      <c r="D116" s="77"/>
      <c r="E116" s="77"/>
      <c r="F116" s="77"/>
      <c r="G116" s="77"/>
      <c r="H116" s="77"/>
      <c r="I116" s="77"/>
      <c r="J116" s="77"/>
      <c r="K116" s="78"/>
      <c r="L116" s="79"/>
      <c r="M116" s="77"/>
      <c r="N116" s="80"/>
      <c r="O116" s="77"/>
      <c r="P116" s="77"/>
      <c r="Q116" s="77"/>
      <c r="R116" s="77"/>
      <c r="S116" s="77"/>
      <c r="T116" s="77"/>
      <c r="U116" s="81"/>
      <c r="V116" s="82"/>
      <c r="W116" s="77"/>
      <c r="X116" s="77"/>
      <c r="Y116" s="77"/>
      <c r="Z116" s="77"/>
      <c r="AA116" s="83"/>
      <c r="AB116" s="77" t="str">
        <f t="shared" ca="1" si="12"/>
        <v/>
      </c>
      <c r="AC116" s="84"/>
      <c r="AD116" s="84"/>
      <c r="AE116" s="85"/>
      <c r="AF116" s="84"/>
      <c r="AG116" s="84"/>
      <c r="AH116" s="85"/>
      <c r="AI116" s="85"/>
      <c r="AJ116" s="86">
        <f>IF(OR(Processos!$H116="Alienação",Processos!$H116="Concessão"),"",(N116-AI116)-(AE116+AH116))</f>
        <v>0</v>
      </c>
      <c r="AK116" s="87" t="str">
        <f t="shared" si="13"/>
        <v/>
      </c>
      <c r="AL116" s="79"/>
      <c r="AM116" s="88"/>
      <c r="AN116" s="89"/>
      <c r="AO116" s="90" t="str">
        <f>IF(Tabela1[[#This Row],[Data de aprovação]]="","",Tabela1[[#This Row],[Data de aprovação]]-Tabela1[[#This Row],[Data de abertura]])</f>
        <v/>
      </c>
      <c r="AP116" s="91"/>
      <c r="AMG116" s="93"/>
      <c r="AMH116" s="93"/>
      <c r="AMI116" s="93"/>
      <c r="AMJ116" s="93"/>
    </row>
    <row r="117" spans="1:1024" s="92" customFormat="1" ht="15" customHeight="1" x14ac:dyDescent="0.15">
      <c r="A117" s="74"/>
      <c r="B117" s="75">
        <v>112</v>
      </c>
      <c r="C117" s="76"/>
      <c r="D117" s="77"/>
      <c r="E117" s="77"/>
      <c r="F117" s="77"/>
      <c r="G117" s="77"/>
      <c r="H117" s="77"/>
      <c r="I117" s="77"/>
      <c r="J117" s="77"/>
      <c r="K117" s="78"/>
      <c r="L117" s="79"/>
      <c r="M117" s="77"/>
      <c r="N117" s="80"/>
      <c r="O117" s="77"/>
      <c r="P117" s="77"/>
      <c r="Q117" s="77"/>
      <c r="R117" s="77"/>
      <c r="S117" s="77"/>
      <c r="T117" s="77"/>
      <c r="U117" s="81"/>
      <c r="V117" s="82"/>
      <c r="W117" s="77"/>
      <c r="X117" s="77"/>
      <c r="Y117" s="77"/>
      <c r="Z117" s="77"/>
      <c r="AA117" s="83"/>
      <c r="AB117" s="77" t="str">
        <f t="shared" ca="1" si="12"/>
        <v/>
      </c>
      <c r="AC117" s="84"/>
      <c r="AD117" s="84"/>
      <c r="AE117" s="85"/>
      <c r="AF117" s="84"/>
      <c r="AG117" s="84"/>
      <c r="AH117" s="85"/>
      <c r="AI117" s="85"/>
      <c r="AJ117" s="86">
        <f>IF(OR(Processos!$H117="Alienação",Processos!$H117="Concessão"),"",(N117-AI117)-(AE117+AH117))</f>
        <v>0</v>
      </c>
      <c r="AK117" s="87" t="str">
        <f t="shared" si="13"/>
        <v/>
      </c>
      <c r="AL117" s="79"/>
      <c r="AM117" s="88"/>
      <c r="AN117" s="89"/>
      <c r="AO117" s="90" t="str">
        <f>IF(Tabela1[[#This Row],[Data de aprovação]]="","",Tabela1[[#This Row],[Data de aprovação]]-Tabela1[[#This Row],[Data de abertura]])</f>
        <v/>
      </c>
      <c r="AP117" s="91"/>
      <c r="AMG117" s="93"/>
      <c r="AMH117" s="93"/>
      <c r="AMI117" s="93"/>
      <c r="AMJ117" s="93"/>
    </row>
    <row r="118" spans="1:1024" s="92" customFormat="1" ht="15" customHeight="1" x14ac:dyDescent="0.15">
      <c r="A118" s="74"/>
      <c r="B118" s="75">
        <v>113</v>
      </c>
      <c r="C118" s="76"/>
      <c r="D118" s="77"/>
      <c r="E118" s="77"/>
      <c r="F118" s="77"/>
      <c r="G118" s="77"/>
      <c r="H118" s="77"/>
      <c r="I118" s="77"/>
      <c r="J118" s="77"/>
      <c r="K118" s="78"/>
      <c r="L118" s="79"/>
      <c r="M118" s="77"/>
      <c r="N118" s="80"/>
      <c r="O118" s="77"/>
      <c r="P118" s="77"/>
      <c r="Q118" s="77"/>
      <c r="R118" s="77"/>
      <c r="S118" s="77"/>
      <c r="T118" s="77"/>
      <c r="U118" s="81"/>
      <c r="V118" s="82"/>
      <c r="W118" s="77"/>
      <c r="X118" s="77"/>
      <c r="Y118" s="77"/>
      <c r="Z118" s="77"/>
      <c r="AA118" s="83"/>
      <c r="AB118" s="77" t="str">
        <f t="shared" ca="1" si="12"/>
        <v/>
      </c>
      <c r="AC118" s="84"/>
      <c r="AD118" s="84"/>
      <c r="AE118" s="85"/>
      <c r="AF118" s="84"/>
      <c r="AG118" s="84"/>
      <c r="AH118" s="85"/>
      <c r="AI118" s="85"/>
      <c r="AJ118" s="86">
        <f>IF(OR(Processos!$H118="Alienação",Processos!$H118="Concessão"),"",(N118-AI118)-(AE118+AH118))</f>
        <v>0</v>
      </c>
      <c r="AK118" s="87" t="str">
        <f t="shared" si="13"/>
        <v/>
      </c>
      <c r="AL118" s="79"/>
      <c r="AM118" s="88"/>
      <c r="AN118" s="89"/>
      <c r="AO118" s="90" t="str">
        <f>IF(Tabela1[[#This Row],[Data de aprovação]]="","",Tabela1[[#This Row],[Data de aprovação]]-Tabela1[[#This Row],[Data de abertura]])</f>
        <v/>
      </c>
      <c r="AP118" s="91"/>
      <c r="AMG118" s="93"/>
      <c r="AMH118" s="93"/>
      <c r="AMI118" s="93"/>
      <c r="AMJ118" s="93"/>
    </row>
    <row r="119" spans="1:1024" s="92" customFormat="1" ht="15" customHeight="1" x14ac:dyDescent="0.15">
      <c r="A119" s="74"/>
      <c r="B119" s="75">
        <v>114</v>
      </c>
      <c r="C119" s="76"/>
      <c r="D119" s="77"/>
      <c r="E119" s="77"/>
      <c r="F119" s="77"/>
      <c r="G119" s="77"/>
      <c r="H119" s="77"/>
      <c r="I119" s="77"/>
      <c r="J119" s="77"/>
      <c r="K119" s="78"/>
      <c r="L119" s="79"/>
      <c r="M119" s="77"/>
      <c r="N119" s="80"/>
      <c r="O119" s="77"/>
      <c r="P119" s="77"/>
      <c r="Q119" s="77"/>
      <c r="R119" s="77"/>
      <c r="S119" s="77"/>
      <c r="T119" s="77"/>
      <c r="U119" s="81"/>
      <c r="V119" s="82"/>
      <c r="W119" s="77"/>
      <c r="X119" s="77"/>
      <c r="Y119" s="77"/>
      <c r="Z119" s="77"/>
      <c r="AA119" s="83"/>
      <c r="AB119" s="77" t="str">
        <f t="shared" ca="1" si="12"/>
        <v/>
      </c>
      <c r="AC119" s="84"/>
      <c r="AD119" s="84"/>
      <c r="AE119" s="85"/>
      <c r="AF119" s="84"/>
      <c r="AG119" s="84"/>
      <c r="AH119" s="85"/>
      <c r="AI119" s="85"/>
      <c r="AJ119" s="86">
        <f>IF(OR(Processos!$H119="Alienação",Processos!$H119="Concessão"),"",(N119-AI119)-(AE119+AH119))</f>
        <v>0</v>
      </c>
      <c r="AK119" s="87" t="str">
        <f t="shared" si="13"/>
        <v/>
      </c>
      <c r="AL119" s="79"/>
      <c r="AM119" s="88"/>
      <c r="AN119" s="89"/>
      <c r="AO119" s="90" t="str">
        <f>IF(Tabela1[[#This Row],[Data de aprovação]]="","",Tabela1[[#This Row],[Data de aprovação]]-Tabela1[[#This Row],[Data de abertura]])</f>
        <v/>
      </c>
      <c r="AP119" s="91"/>
      <c r="AMG119" s="93"/>
      <c r="AMH119" s="93"/>
      <c r="AMI119" s="93"/>
      <c r="AMJ119" s="93"/>
    </row>
    <row r="120" spans="1:1024" s="92" customFormat="1" ht="15" customHeight="1" x14ac:dyDescent="0.15">
      <c r="A120" s="74"/>
      <c r="B120" s="75">
        <v>115</v>
      </c>
      <c r="C120" s="76"/>
      <c r="D120" s="77"/>
      <c r="E120" s="77"/>
      <c r="F120" s="77"/>
      <c r="G120" s="77"/>
      <c r="H120" s="77"/>
      <c r="I120" s="77"/>
      <c r="J120" s="77"/>
      <c r="K120" s="78"/>
      <c r="L120" s="79"/>
      <c r="M120" s="77"/>
      <c r="N120" s="80"/>
      <c r="O120" s="77"/>
      <c r="P120" s="77"/>
      <c r="Q120" s="77"/>
      <c r="R120" s="77"/>
      <c r="S120" s="77"/>
      <c r="T120" s="77"/>
      <c r="U120" s="81"/>
      <c r="V120" s="82"/>
      <c r="W120" s="77"/>
      <c r="X120" s="77"/>
      <c r="Y120" s="77"/>
      <c r="Z120" s="77"/>
      <c r="AA120" s="83"/>
      <c r="AB120" s="77" t="str">
        <f t="shared" ca="1" si="12"/>
        <v/>
      </c>
      <c r="AC120" s="84"/>
      <c r="AD120" s="84"/>
      <c r="AE120" s="85"/>
      <c r="AF120" s="84"/>
      <c r="AG120" s="84"/>
      <c r="AH120" s="85"/>
      <c r="AI120" s="85"/>
      <c r="AJ120" s="86">
        <f>IF(OR(Processos!$H120="Alienação",Processos!$H120="Concessão"),"",(N120-AI120)-(AE120+AH120))</f>
        <v>0</v>
      </c>
      <c r="AK120" s="87" t="str">
        <f t="shared" si="13"/>
        <v/>
      </c>
      <c r="AL120" s="79"/>
      <c r="AM120" s="88"/>
      <c r="AN120" s="89"/>
      <c r="AO120" s="90" t="str">
        <f>IF(Tabela1[[#This Row],[Data de aprovação]]="","",Tabela1[[#This Row],[Data de aprovação]]-Tabela1[[#This Row],[Data de abertura]])</f>
        <v/>
      </c>
      <c r="AP120" s="91"/>
      <c r="AMG120" s="93"/>
      <c r="AMH120" s="93"/>
      <c r="AMI120" s="93"/>
      <c r="AMJ120" s="93"/>
    </row>
    <row r="121" spans="1:1024" s="92" customFormat="1" ht="15" customHeight="1" x14ac:dyDescent="0.15">
      <c r="A121" s="74"/>
      <c r="B121" s="75">
        <v>116</v>
      </c>
      <c r="C121" s="76"/>
      <c r="D121" s="77"/>
      <c r="E121" s="77"/>
      <c r="F121" s="77"/>
      <c r="G121" s="77"/>
      <c r="H121" s="77"/>
      <c r="I121" s="77"/>
      <c r="J121" s="77"/>
      <c r="K121" s="78"/>
      <c r="L121" s="79"/>
      <c r="M121" s="77"/>
      <c r="N121" s="80"/>
      <c r="O121" s="77"/>
      <c r="P121" s="77"/>
      <c r="Q121" s="77"/>
      <c r="R121" s="77"/>
      <c r="S121" s="77"/>
      <c r="T121" s="77"/>
      <c r="U121" s="81"/>
      <c r="V121" s="82"/>
      <c r="W121" s="77"/>
      <c r="X121" s="77"/>
      <c r="Y121" s="77"/>
      <c r="Z121" s="77"/>
      <c r="AA121" s="83"/>
      <c r="AB121" s="77" t="str">
        <f t="shared" ca="1" si="12"/>
        <v/>
      </c>
      <c r="AC121" s="84"/>
      <c r="AD121" s="84"/>
      <c r="AE121" s="85"/>
      <c r="AF121" s="84"/>
      <c r="AG121" s="84"/>
      <c r="AH121" s="85"/>
      <c r="AI121" s="85"/>
      <c r="AJ121" s="86">
        <f>IF(OR(Processos!$H121="Alienação",Processos!$H121="Concessão"),"",(N121-AI121)-(AE121+AH121))</f>
        <v>0</v>
      </c>
      <c r="AK121" s="87" t="str">
        <f t="shared" si="13"/>
        <v/>
      </c>
      <c r="AL121" s="79"/>
      <c r="AM121" s="88"/>
      <c r="AN121" s="89"/>
      <c r="AO121" s="90" t="str">
        <f>IF(Tabela1[[#This Row],[Data de aprovação]]="","",Tabela1[[#This Row],[Data de aprovação]]-Tabela1[[#This Row],[Data de abertura]])</f>
        <v/>
      </c>
      <c r="AP121" s="91"/>
      <c r="AMG121" s="93"/>
      <c r="AMH121" s="93"/>
      <c r="AMI121" s="93"/>
      <c r="AMJ121" s="93"/>
    </row>
    <row r="122" spans="1:1024" s="92" customFormat="1" ht="15" customHeight="1" x14ac:dyDescent="0.15">
      <c r="A122" s="74"/>
      <c r="B122" s="75">
        <v>117</v>
      </c>
      <c r="C122" s="76"/>
      <c r="D122" s="77"/>
      <c r="E122" s="77"/>
      <c r="F122" s="77"/>
      <c r="G122" s="77"/>
      <c r="H122" s="77"/>
      <c r="I122" s="77"/>
      <c r="J122" s="77"/>
      <c r="K122" s="78"/>
      <c r="L122" s="79"/>
      <c r="M122" s="77"/>
      <c r="N122" s="80"/>
      <c r="O122" s="77"/>
      <c r="P122" s="77"/>
      <c r="Q122" s="77"/>
      <c r="R122" s="77"/>
      <c r="S122" s="77"/>
      <c r="T122" s="77"/>
      <c r="U122" s="81"/>
      <c r="V122" s="82"/>
      <c r="W122" s="77"/>
      <c r="X122" s="77"/>
      <c r="Y122" s="77"/>
      <c r="Z122" s="77"/>
      <c r="AA122" s="83"/>
      <c r="AB122" s="77" t="str">
        <f t="shared" ca="1" si="12"/>
        <v/>
      </c>
      <c r="AC122" s="84"/>
      <c r="AD122" s="84"/>
      <c r="AE122" s="85"/>
      <c r="AF122" s="84"/>
      <c r="AG122" s="84"/>
      <c r="AH122" s="85"/>
      <c r="AI122" s="85"/>
      <c r="AJ122" s="86">
        <f>IF(OR(Processos!$H122="Alienação",Processos!$H122="Concessão"),"",(N122-AI122)-(AE122+AH122))</f>
        <v>0</v>
      </c>
      <c r="AK122" s="87" t="str">
        <f t="shared" si="13"/>
        <v/>
      </c>
      <c r="AL122" s="79"/>
      <c r="AM122" s="88"/>
      <c r="AN122" s="89"/>
      <c r="AO122" s="90" t="str">
        <f>IF(Tabela1[[#This Row],[Data de aprovação]]="","",Tabela1[[#This Row],[Data de aprovação]]-Tabela1[[#This Row],[Data de abertura]])</f>
        <v/>
      </c>
      <c r="AP122" s="91"/>
      <c r="AMG122" s="93"/>
      <c r="AMH122" s="93"/>
      <c r="AMI122" s="93"/>
      <c r="AMJ122" s="93"/>
    </row>
    <row r="123" spans="1:1024" s="92" customFormat="1" ht="15" customHeight="1" x14ac:dyDescent="0.15">
      <c r="A123" s="74"/>
      <c r="B123" s="75">
        <v>118</v>
      </c>
      <c r="C123" s="76"/>
      <c r="D123" s="77"/>
      <c r="E123" s="77"/>
      <c r="F123" s="77"/>
      <c r="G123" s="77"/>
      <c r="H123" s="77"/>
      <c r="I123" s="77"/>
      <c r="J123" s="77"/>
      <c r="K123" s="78"/>
      <c r="L123" s="79"/>
      <c r="M123" s="77"/>
      <c r="N123" s="80"/>
      <c r="O123" s="77"/>
      <c r="P123" s="77"/>
      <c r="Q123" s="77"/>
      <c r="R123" s="77"/>
      <c r="S123" s="77"/>
      <c r="T123" s="77"/>
      <c r="U123" s="81"/>
      <c r="V123" s="82"/>
      <c r="W123" s="77"/>
      <c r="X123" s="77"/>
      <c r="Y123" s="77"/>
      <c r="Z123" s="77"/>
      <c r="AA123" s="83"/>
      <c r="AB123" s="77" t="str">
        <f t="shared" ca="1" si="12"/>
        <v/>
      </c>
      <c r="AC123" s="84"/>
      <c r="AD123" s="84"/>
      <c r="AE123" s="85"/>
      <c r="AF123" s="84"/>
      <c r="AG123" s="84"/>
      <c r="AH123" s="85"/>
      <c r="AI123" s="85"/>
      <c r="AJ123" s="86">
        <f>IF(OR(Processos!$H123="Alienação",Processos!$H123="Concessão"),"",(N123-AI123)-(AE123+AH123))</f>
        <v>0</v>
      </c>
      <c r="AK123" s="87" t="str">
        <f t="shared" si="13"/>
        <v/>
      </c>
      <c r="AL123" s="79"/>
      <c r="AM123" s="88"/>
      <c r="AN123" s="89"/>
      <c r="AO123" s="90" t="str">
        <f>IF(Tabela1[[#This Row],[Data de aprovação]]="","",Tabela1[[#This Row],[Data de aprovação]]-Tabela1[[#This Row],[Data de abertura]])</f>
        <v/>
      </c>
      <c r="AP123" s="91"/>
      <c r="AMG123" s="93"/>
      <c r="AMH123" s="93"/>
      <c r="AMI123" s="93"/>
      <c r="AMJ123" s="93"/>
    </row>
    <row r="124" spans="1:1024" s="92" customFormat="1" ht="15" customHeight="1" x14ac:dyDescent="0.15">
      <c r="A124" s="74"/>
      <c r="B124" s="75">
        <v>119</v>
      </c>
      <c r="C124" s="76"/>
      <c r="D124" s="77"/>
      <c r="E124" s="77"/>
      <c r="F124" s="77"/>
      <c r="G124" s="77"/>
      <c r="H124" s="77"/>
      <c r="I124" s="77"/>
      <c r="J124" s="77"/>
      <c r="K124" s="78"/>
      <c r="L124" s="79"/>
      <c r="M124" s="77"/>
      <c r="N124" s="80"/>
      <c r="O124" s="77"/>
      <c r="P124" s="77"/>
      <c r="Q124" s="77"/>
      <c r="R124" s="77"/>
      <c r="S124" s="77"/>
      <c r="T124" s="77"/>
      <c r="U124" s="81"/>
      <c r="V124" s="82"/>
      <c r="W124" s="77"/>
      <c r="X124" s="77"/>
      <c r="Y124" s="77"/>
      <c r="Z124" s="77"/>
      <c r="AA124" s="83"/>
      <c r="AB124" s="77" t="str">
        <f t="shared" ca="1" si="12"/>
        <v/>
      </c>
      <c r="AC124" s="84"/>
      <c r="AD124" s="84"/>
      <c r="AE124" s="85"/>
      <c r="AF124" s="84"/>
      <c r="AG124" s="84"/>
      <c r="AH124" s="85"/>
      <c r="AI124" s="85"/>
      <c r="AJ124" s="86">
        <f>IF(OR(Processos!$H124="Alienação",Processos!$H124="Concessão"),"",(N124-AI124)-(AE124+AH124))</f>
        <v>0</v>
      </c>
      <c r="AK124" s="87" t="str">
        <f t="shared" si="13"/>
        <v/>
      </c>
      <c r="AL124" s="79"/>
      <c r="AM124" s="88"/>
      <c r="AN124" s="89"/>
      <c r="AO124" s="90" t="str">
        <f>IF(Tabela1[[#This Row],[Data de aprovação]]="","",Tabela1[[#This Row],[Data de aprovação]]-Tabela1[[#This Row],[Data de abertura]])</f>
        <v/>
      </c>
      <c r="AP124" s="91"/>
      <c r="AMG124" s="93"/>
      <c r="AMH124" s="93"/>
      <c r="AMI124" s="93"/>
      <c r="AMJ124" s="93"/>
    </row>
    <row r="125" spans="1:1024" s="92" customFormat="1" ht="15" customHeight="1" x14ac:dyDescent="0.15">
      <c r="A125" s="74"/>
      <c r="B125" s="75">
        <v>120</v>
      </c>
      <c r="C125" s="76"/>
      <c r="D125" s="77"/>
      <c r="E125" s="77"/>
      <c r="F125" s="77"/>
      <c r="G125" s="77"/>
      <c r="H125" s="77"/>
      <c r="I125" s="77"/>
      <c r="J125" s="77"/>
      <c r="K125" s="78"/>
      <c r="L125" s="79"/>
      <c r="M125" s="77"/>
      <c r="N125" s="80"/>
      <c r="O125" s="77"/>
      <c r="P125" s="77"/>
      <c r="Q125" s="77"/>
      <c r="R125" s="77"/>
      <c r="S125" s="77"/>
      <c r="T125" s="77"/>
      <c r="U125" s="81"/>
      <c r="V125" s="82"/>
      <c r="W125" s="77"/>
      <c r="X125" s="77"/>
      <c r="Y125" s="77"/>
      <c r="Z125" s="77"/>
      <c r="AA125" s="83"/>
      <c r="AB125" s="77" t="str">
        <f t="shared" ca="1" si="12"/>
        <v/>
      </c>
      <c r="AC125" s="84"/>
      <c r="AD125" s="84"/>
      <c r="AE125" s="85"/>
      <c r="AF125" s="84"/>
      <c r="AG125" s="84"/>
      <c r="AH125" s="85"/>
      <c r="AI125" s="85"/>
      <c r="AJ125" s="86">
        <f>IF(OR(Processos!$H125="Alienação",Processos!$H125="Concessão"),"",(N125-AI125)-(AE125+AH125))</f>
        <v>0</v>
      </c>
      <c r="AK125" s="87" t="str">
        <f t="shared" si="13"/>
        <v/>
      </c>
      <c r="AL125" s="79"/>
      <c r="AM125" s="88"/>
      <c r="AN125" s="89"/>
      <c r="AO125" s="90" t="str">
        <f>IF(Tabela1[[#This Row],[Data de aprovação]]="","",Tabela1[[#This Row],[Data de aprovação]]-Tabela1[[#This Row],[Data de abertura]])</f>
        <v/>
      </c>
      <c r="AP125" s="91"/>
      <c r="AMG125" s="93"/>
      <c r="AMH125" s="93"/>
      <c r="AMI125" s="93"/>
      <c r="AMJ125" s="93"/>
    </row>
    <row r="126" spans="1:1024" s="92" customFormat="1" ht="15" customHeight="1" x14ac:dyDescent="0.15">
      <c r="A126" s="74"/>
      <c r="B126" s="75">
        <v>121</v>
      </c>
      <c r="C126" s="76"/>
      <c r="D126" s="77"/>
      <c r="E126" s="77"/>
      <c r="F126" s="77"/>
      <c r="G126" s="77"/>
      <c r="H126" s="77"/>
      <c r="I126" s="77"/>
      <c r="J126" s="77"/>
      <c r="K126" s="78"/>
      <c r="L126" s="79"/>
      <c r="M126" s="77"/>
      <c r="N126" s="80"/>
      <c r="O126" s="77"/>
      <c r="P126" s="77"/>
      <c r="Q126" s="77"/>
      <c r="R126" s="77"/>
      <c r="S126" s="77"/>
      <c r="T126" s="77"/>
      <c r="U126" s="81"/>
      <c r="V126" s="82"/>
      <c r="W126" s="77"/>
      <c r="X126" s="77"/>
      <c r="Y126" s="77"/>
      <c r="Z126" s="77"/>
      <c r="AA126" s="83"/>
      <c r="AB126" s="77" t="str">
        <f t="shared" ca="1" si="12"/>
        <v/>
      </c>
      <c r="AC126" s="84"/>
      <c r="AD126" s="84"/>
      <c r="AE126" s="85"/>
      <c r="AF126" s="84"/>
      <c r="AG126" s="84"/>
      <c r="AH126" s="85"/>
      <c r="AI126" s="85"/>
      <c r="AJ126" s="86">
        <f>IF(OR(Processos!$H126="Alienação",Processos!$H126="Concessão"),"",(N126-AI126)-(AE126+AH126))</f>
        <v>0</v>
      </c>
      <c r="AK126" s="87" t="str">
        <f t="shared" si="13"/>
        <v/>
      </c>
      <c r="AL126" s="79"/>
      <c r="AM126" s="88"/>
      <c r="AN126" s="89"/>
      <c r="AO126" s="90" t="str">
        <f>IF(Tabela1[[#This Row],[Data de aprovação]]="","",Tabela1[[#This Row],[Data de aprovação]]-Tabela1[[#This Row],[Data de abertura]])</f>
        <v/>
      </c>
      <c r="AP126" s="91"/>
      <c r="AMG126" s="93"/>
      <c r="AMH126" s="93"/>
      <c r="AMI126" s="93"/>
      <c r="AMJ126" s="93"/>
    </row>
    <row r="127" spans="1:1024" s="92" customFormat="1" ht="15" customHeight="1" x14ac:dyDescent="0.15">
      <c r="A127" s="74"/>
      <c r="B127" s="75">
        <v>122</v>
      </c>
      <c r="C127" s="76"/>
      <c r="D127" s="77"/>
      <c r="E127" s="77"/>
      <c r="F127" s="77"/>
      <c r="G127" s="77"/>
      <c r="H127" s="77"/>
      <c r="I127" s="77"/>
      <c r="J127" s="77"/>
      <c r="K127" s="78"/>
      <c r="L127" s="79"/>
      <c r="M127" s="77"/>
      <c r="N127" s="80"/>
      <c r="O127" s="77"/>
      <c r="P127" s="77"/>
      <c r="Q127" s="77"/>
      <c r="R127" s="77"/>
      <c r="S127" s="77"/>
      <c r="T127" s="77"/>
      <c r="U127" s="81"/>
      <c r="V127" s="82"/>
      <c r="W127" s="77"/>
      <c r="X127" s="77"/>
      <c r="Y127" s="77"/>
      <c r="Z127" s="77"/>
      <c r="AA127" s="83"/>
      <c r="AB127" s="77" t="str">
        <f t="shared" ca="1" si="12"/>
        <v/>
      </c>
      <c r="AC127" s="84"/>
      <c r="AD127" s="84"/>
      <c r="AE127" s="85"/>
      <c r="AF127" s="84"/>
      <c r="AG127" s="84"/>
      <c r="AH127" s="85"/>
      <c r="AI127" s="85"/>
      <c r="AJ127" s="86">
        <f>IF(OR(Processos!$H127="Alienação",Processos!$H127="Concessão"),"",(N127-AI127)-(AE127+AH127))</f>
        <v>0</v>
      </c>
      <c r="AK127" s="87" t="str">
        <f t="shared" si="13"/>
        <v/>
      </c>
      <c r="AL127" s="79"/>
      <c r="AM127" s="88"/>
      <c r="AN127" s="89"/>
      <c r="AO127" s="90" t="str">
        <f>IF(Tabela1[[#This Row],[Data de aprovação]]="","",Tabela1[[#This Row],[Data de aprovação]]-Tabela1[[#This Row],[Data de abertura]])</f>
        <v/>
      </c>
      <c r="AP127" s="91"/>
      <c r="AMG127" s="93"/>
      <c r="AMH127" s="93"/>
      <c r="AMI127" s="93"/>
      <c r="AMJ127" s="93"/>
    </row>
    <row r="128" spans="1:1024" s="92" customFormat="1" ht="15" customHeight="1" x14ac:dyDescent="0.15">
      <c r="A128" s="74"/>
      <c r="B128" s="75">
        <v>123</v>
      </c>
      <c r="C128" s="76"/>
      <c r="D128" s="77"/>
      <c r="E128" s="77"/>
      <c r="F128" s="77"/>
      <c r="G128" s="77"/>
      <c r="H128" s="77"/>
      <c r="I128" s="77"/>
      <c r="J128" s="77"/>
      <c r="K128" s="78"/>
      <c r="L128" s="79"/>
      <c r="M128" s="77"/>
      <c r="N128" s="80"/>
      <c r="O128" s="77"/>
      <c r="P128" s="77"/>
      <c r="Q128" s="77"/>
      <c r="R128" s="77"/>
      <c r="S128" s="77"/>
      <c r="T128" s="77"/>
      <c r="U128" s="81"/>
      <c r="V128" s="82"/>
      <c r="W128" s="77"/>
      <c r="X128" s="77"/>
      <c r="Y128" s="77"/>
      <c r="Z128" s="77"/>
      <c r="AA128" s="83"/>
      <c r="AB128" s="77" t="str">
        <f t="shared" ca="1" si="12"/>
        <v/>
      </c>
      <c r="AC128" s="84"/>
      <c r="AD128" s="84"/>
      <c r="AE128" s="85"/>
      <c r="AF128" s="84"/>
      <c r="AG128" s="84"/>
      <c r="AH128" s="85"/>
      <c r="AI128" s="85"/>
      <c r="AJ128" s="86">
        <f>IF(OR(Processos!$H128="Alienação",Processos!$H128="Concessão"),"",(N128-AI128)-(AE128+AH128))</f>
        <v>0</v>
      </c>
      <c r="AK128" s="87" t="str">
        <f t="shared" si="13"/>
        <v/>
      </c>
      <c r="AL128" s="79"/>
      <c r="AM128" s="88"/>
      <c r="AN128" s="89"/>
      <c r="AO128" s="90" t="str">
        <f>IF(Tabela1[[#This Row],[Data de aprovação]]="","",Tabela1[[#This Row],[Data de aprovação]]-Tabela1[[#This Row],[Data de abertura]])</f>
        <v/>
      </c>
      <c r="AP128" s="91"/>
      <c r="AMG128" s="93"/>
      <c r="AMH128" s="93"/>
      <c r="AMI128" s="93"/>
      <c r="AMJ128" s="93"/>
    </row>
    <row r="129" spans="1:1024" s="92" customFormat="1" ht="15" customHeight="1" x14ac:dyDescent="0.15">
      <c r="A129" s="74"/>
      <c r="B129" s="75">
        <v>124</v>
      </c>
      <c r="C129" s="76"/>
      <c r="D129" s="77"/>
      <c r="E129" s="77"/>
      <c r="F129" s="77"/>
      <c r="G129" s="77"/>
      <c r="H129" s="77"/>
      <c r="I129" s="77"/>
      <c r="J129" s="77"/>
      <c r="K129" s="78"/>
      <c r="L129" s="79"/>
      <c r="M129" s="77"/>
      <c r="N129" s="80"/>
      <c r="O129" s="77"/>
      <c r="P129" s="77"/>
      <c r="Q129" s="77"/>
      <c r="R129" s="77"/>
      <c r="S129" s="77"/>
      <c r="T129" s="77"/>
      <c r="U129" s="81"/>
      <c r="V129" s="82"/>
      <c r="W129" s="77"/>
      <c r="X129" s="77"/>
      <c r="Y129" s="77"/>
      <c r="Z129" s="77"/>
      <c r="AA129" s="83"/>
      <c r="AB129" s="77" t="str">
        <f t="shared" ca="1" si="12"/>
        <v/>
      </c>
      <c r="AC129" s="84"/>
      <c r="AD129" s="84"/>
      <c r="AE129" s="85"/>
      <c r="AF129" s="84"/>
      <c r="AG129" s="84"/>
      <c r="AH129" s="85"/>
      <c r="AI129" s="85"/>
      <c r="AJ129" s="86">
        <f>IF(OR(Processos!$H129="Alienação",Processos!$H129="Concessão"),"",(N129-AI129)-(AE129+AH129))</f>
        <v>0</v>
      </c>
      <c r="AK129" s="87" t="str">
        <f t="shared" si="13"/>
        <v/>
      </c>
      <c r="AL129" s="79"/>
      <c r="AM129" s="88"/>
      <c r="AN129" s="89"/>
      <c r="AO129" s="90" t="str">
        <f>IF(Tabela1[[#This Row],[Data de aprovação]]="","",Tabela1[[#This Row],[Data de aprovação]]-Tabela1[[#This Row],[Data de abertura]])</f>
        <v/>
      </c>
      <c r="AP129" s="91"/>
      <c r="AMG129" s="93"/>
      <c r="AMH129" s="93"/>
      <c r="AMI129" s="93"/>
      <c r="AMJ129" s="93"/>
    </row>
    <row r="130" spans="1:1024" s="92" customFormat="1" ht="15" customHeight="1" x14ac:dyDescent="0.15">
      <c r="A130" s="74"/>
      <c r="B130" s="75">
        <v>125</v>
      </c>
      <c r="C130" s="76"/>
      <c r="D130" s="77"/>
      <c r="E130" s="77"/>
      <c r="F130" s="77"/>
      <c r="G130" s="77"/>
      <c r="H130" s="77"/>
      <c r="I130" s="77"/>
      <c r="J130" s="77"/>
      <c r="K130" s="78"/>
      <c r="L130" s="79"/>
      <c r="M130" s="77"/>
      <c r="N130" s="80"/>
      <c r="O130" s="77"/>
      <c r="P130" s="77"/>
      <c r="Q130" s="77"/>
      <c r="R130" s="77"/>
      <c r="S130" s="77"/>
      <c r="T130" s="77"/>
      <c r="U130" s="81"/>
      <c r="V130" s="82"/>
      <c r="W130" s="77"/>
      <c r="X130" s="77"/>
      <c r="Y130" s="77"/>
      <c r="Z130" s="77"/>
      <c r="AA130" s="83"/>
      <c r="AB130" s="77" t="str">
        <f t="shared" ca="1" si="12"/>
        <v/>
      </c>
      <c r="AC130" s="84"/>
      <c r="AD130" s="84"/>
      <c r="AE130" s="85"/>
      <c r="AF130" s="84"/>
      <c r="AG130" s="84"/>
      <c r="AH130" s="85"/>
      <c r="AI130" s="85"/>
      <c r="AJ130" s="86">
        <f>IF(OR(Processos!$H130="Alienação",Processos!$H130="Concessão"),"",(N130-AI130)-(AE130+AH130))</f>
        <v>0</v>
      </c>
      <c r="AK130" s="87" t="str">
        <f t="shared" si="13"/>
        <v/>
      </c>
      <c r="AL130" s="79"/>
      <c r="AM130" s="88"/>
      <c r="AN130" s="89"/>
      <c r="AO130" s="90" t="str">
        <f>IF(Tabela1[[#This Row],[Data de aprovação]]="","",Tabela1[[#This Row],[Data de aprovação]]-Tabela1[[#This Row],[Data de abertura]])</f>
        <v/>
      </c>
      <c r="AP130" s="91"/>
      <c r="AMG130" s="93"/>
      <c r="AMH130" s="93"/>
      <c r="AMI130" s="93"/>
      <c r="AMJ130" s="93"/>
    </row>
    <row r="131" spans="1:1024" s="92" customFormat="1" ht="15" customHeight="1" x14ac:dyDescent="0.15">
      <c r="A131" s="74"/>
      <c r="B131" s="75">
        <v>126</v>
      </c>
      <c r="C131" s="76"/>
      <c r="D131" s="77"/>
      <c r="E131" s="77"/>
      <c r="F131" s="77"/>
      <c r="G131" s="77"/>
      <c r="H131" s="77"/>
      <c r="I131" s="77"/>
      <c r="J131" s="77"/>
      <c r="K131" s="78"/>
      <c r="L131" s="79"/>
      <c r="M131" s="77"/>
      <c r="N131" s="80"/>
      <c r="O131" s="77"/>
      <c r="P131" s="77"/>
      <c r="Q131" s="77"/>
      <c r="R131" s="77"/>
      <c r="S131" s="77"/>
      <c r="T131" s="77"/>
      <c r="U131" s="81"/>
      <c r="V131" s="82"/>
      <c r="W131" s="77"/>
      <c r="X131" s="77"/>
      <c r="Y131" s="77"/>
      <c r="Z131" s="77"/>
      <c r="AA131" s="83"/>
      <c r="AB131" s="77" t="str">
        <f t="shared" ca="1" si="12"/>
        <v/>
      </c>
      <c r="AC131" s="84"/>
      <c r="AD131" s="84"/>
      <c r="AE131" s="85"/>
      <c r="AF131" s="84"/>
      <c r="AG131" s="84"/>
      <c r="AH131" s="85"/>
      <c r="AI131" s="85"/>
      <c r="AJ131" s="86">
        <f>IF(OR(Processos!$H131="Alienação",Processos!$H131="Concessão"),"",(N131-AI131)-(AE131+AH131))</f>
        <v>0</v>
      </c>
      <c r="AK131" s="87" t="str">
        <f t="shared" si="13"/>
        <v/>
      </c>
      <c r="AL131" s="79"/>
      <c r="AM131" s="88"/>
      <c r="AN131" s="89"/>
      <c r="AO131" s="90" t="str">
        <f>IF(Tabela1[[#This Row],[Data de aprovação]]="","",Tabela1[[#This Row],[Data de aprovação]]-Tabela1[[#This Row],[Data de abertura]])</f>
        <v/>
      </c>
      <c r="AP131" s="91"/>
      <c r="AMG131" s="93"/>
      <c r="AMH131" s="93"/>
      <c r="AMI131" s="93"/>
      <c r="AMJ131" s="93"/>
    </row>
    <row r="132" spans="1:1024" s="92" customFormat="1" ht="15" customHeight="1" x14ac:dyDescent="0.15">
      <c r="A132" s="74"/>
      <c r="B132" s="75">
        <v>127</v>
      </c>
      <c r="C132" s="76"/>
      <c r="D132" s="77"/>
      <c r="E132" s="77"/>
      <c r="F132" s="77"/>
      <c r="G132" s="77"/>
      <c r="H132" s="77"/>
      <c r="I132" s="77"/>
      <c r="J132" s="77"/>
      <c r="K132" s="78"/>
      <c r="L132" s="79"/>
      <c r="M132" s="77"/>
      <c r="N132" s="80"/>
      <c r="O132" s="77"/>
      <c r="P132" s="77"/>
      <c r="Q132" s="77"/>
      <c r="R132" s="77"/>
      <c r="S132" s="77"/>
      <c r="T132" s="77"/>
      <c r="U132" s="81"/>
      <c r="V132" s="82"/>
      <c r="W132" s="77"/>
      <c r="X132" s="77"/>
      <c r="Y132" s="77"/>
      <c r="Z132" s="77"/>
      <c r="AA132" s="83"/>
      <c r="AB132" s="77" t="str">
        <f t="shared" ca="1" si="12"/>
        <v/>
      </c>
      <c r="AC132" s="84"/>
      <c r="AD132" s="84"/>
      <c r="AE132" s="85"/>
      <c r="AF132" s="84"/>
      <c r="AG132" s="84"/>
      <c r="AH132" s="85"/>
      <c r="AI132" s="85"/>
      <c r="AJ132" s="86">
        <f>IF(OR(Processos!$H132="Alienação",Processos!$H132="Concessão"),"",(N132-AI132)-(AE132+AH132))</f>
        <v>0</v>
      </c>
      <c r="AK132" s="87" t="str">
        <f t="shared" si="13"/>
        <v/>
      </c>
      <c r="AL132" s="79"/>
      <c r="AM132" s="88"/>
      <c r="AN132" s="89"/>
      <c r="AO132" s="90" t="str">
        <f>IF(Tabela1[[#This Row],[Data de aprovação]]="","",Tabela1[[#This Row],[Data de aprovação]]-Tabela1[[#This Row],[Data de abertura]])</f>
        <v/>
      </c>
      <c r="AP132" s="91"/>
      <c r="AMG132" s="93"/>
      <c r="AMH132" s="93"/>
      <c r="AMI132" s="93"/>
      <c r="AMJ132" s="93"/>
    </row>
    <row r="133" spans="1:1024" s="92" customFormat="1" ht="15" customHeight="1" x14ac:dyDescent="0.15">
      <c r="A133" s="74"/>
      <c r="B133" s="75">
        <v>128</v>
      </c>
      <c r="C133" s="76"/>
      <c r="D133" s="77"/>
      <c r="E133" s="77"/>
      <c r="F133" s="77"/>
      <c r="G133" s="77"/>
      <c r="H133" s="77"/>
      <c r="I133" s="77"/>
      <c r="J133" s="77"/>
      <c r="K133" s="78"/>
      <c r="L133" s="79"/>
      <c r="M133" s="77"/>
      <c r="N133" s="80"/>
      <c r="O133" s="77"/>
      <c r="P133" s="77"/>
      <c r="Q133" s="77"/>
      <c r="R133" s="77"/>
      <c r="S133" s="77"/>
      <c r="T133" s="77"/>
      <c r="U133" s="81"/>
      <c r="V133" s="82"/>
      <c r="W133" s="77"/>
      <c r="X133" s="77"/>
      <c r="Y133" s="77"/>
      <c r="Z133" s="77"/>
      <c r="AA133" s="83"/>
      <c r="AB133" s="77" t="str">
        <f t="shared" ca="1" si="12"/>
        <v/>
      </c>
      <c r="AC133" s="84"/>
      <c r="AD133" s="84"/>
      <c r="AE133" s="85"/>
      <c r="AF133" s="84"/>
      <c r="AG133" s="84"/>
      <c r="AH133" s="85"/>
      <c r="AI133" s="85"/>
      <c r="AJ133" s="86">
        <f>IF(OR(Processos!$H133="Alienação",Processos!$H133="Concessão"),"",(N133-AI133)-(AE133+AH133))</f>
        <v>0</v>
      </c>
      <c r="AK133" s="87" t="str">
        <f t="shared" si="13"/>
        <v/>
      </c>
      <c r="AL133" s="79"/>
      <c r="AM133" s="88"/>
      <c r="AN133" s="89"/>
      <c r="AO133" s="90" t="str">
        <f>IF(Tabela1[[#This Row],[Data de aprovação]]="","",Tabela1[[#This Row],[Data de aprovação]]-Tabela1[[#This Row],[Data de abertura]])</f>
        <v/>
      </c>
      <c r="AP133" s="91"/>
      <c r="AMG133" s="93"/>
      <c r="AMH133" s="93"/>
      <c r="AMI133" s="93"/>
      <c r="AMJ133" s="93"/>
    </row>
    <row r="134" spans="1:1024" s="92" customFormat="1" ht="15" customHeight="1" x14ac:dyDescent="0.15">
      <c r="A134" s="74"/>
      <c r="B134" s="75">
        <v>129</v>
      </c>
      <c r="C134" s="76"/>
      <c r="D134" s="77"/>
      <c r="E134" s="77"/>
      <c r="F134" s="77"/>
      <c r="G134" s="77"/>
      <c r="H134" s="77"/>
      <c r="I134" s="77"/>
      <c r="J134" s="77"/>
      <c r="K134" s="78"/>
      <c r="L134" s="79"/>
      <c r="M134" s="77"/>
      <c r="N134" s="80"/>
      <c r="O134" s="77"/>
      <c r="P134" s="77"/>
      <c r="Q134" s="77"/>
      <c r="R134" s="77"/>
      <c r="S134" s="77"/>
      <c r="T134" s="77"/>
      <c r="U134" s="81"/>
      <c r="V134" s="82"/>
      <c r="W134" s="77"/>
      <c r="X134" s="77"/>
      <c r="Y134" s="77"/>
      <c r="Z134" s="77"/>
      <c r="AA134" s="83"/>
      <c r="AB134" s="77" t="str">
        <f t="shared" ca="1" si="12"/>
        <v/>
      </c>
      <c r="AC134" s="84"/>
      <c r="AD134" s="84"/>
      <c r="AE134" s="85"/>
      <c r="AF134" s="84"/>
      <c r="AG134" s="84"/>
      <c r="AH134" s="85"/>
      <c r="AI134" s="85"/>
      <c r="AJ134" s="86">
        <f>IF(OR(Processos!$H134="Alienação",Processos!$H134="Concessão"),"",(N134-AI134)-(AE134+AH134))</f>
        <v>0</v>
      </c>
      <c r="AK134" s="87" t="str">
        <f t="shared" si="13"/>
        <v/>
      </c>
      <c r="AL134" s="79"/>
      <c r="AM134" s="88"/>
      <c r="AN134" s="89"/>
      <c r="AO134" s="90" t="str">
        <f>IF(Tabela1[[#This Row],[Data de aprovação]]="","",Tabela1[[#This Row],[Data de aprovação]]-Tabela1[[#This Row],[Data de abertura]])</f>
        <v/>
      </c>
      <c r="AP134" s="91"/>
      <c r="AMG134" s="93"/>
      <c r="AMH134" s="93"/>
      <c r="AMI134" s="93"/>
      <c r="AMJ134" s="93"/>
    </row>
    <row r="135" spans="1:1024" s="92" customFormat="1" ht="15" customHeight="1" x14ac:dyDescent="0.15">
      <c r="A135" s="74"/>
      <c r="B135" s="75">
        <v>130</v>
      </c>
      <c r="C135" s="76"/>
      <c r="D135" s="77"/>
      <c r="E135" s="77"/>
      <c r="F135" s="77"/>
      <c r="G135" s="77"/>
      <c r="H135" s="77"/>
      <c r="I135" s="77"/>
      <c r="J135" s="77"/>
      <c r="K135" s="78"/>
      <c r="L135" s="79"/>
      <c r="M135" s="77"/>
      <c r="N135" s="80"/>
      <c r="O135" s="77"/>
      <c r="P135" s="77"/>
      <c r="Q135" s="77"/>
      <c r="R135" s="77"/>
      <c r="S135" s="77"/>
      <c r="T135" s="77"/>
      <c r="U135" s="81"/>
      <c r="V135" s="82"/>
      <c r="W135" s="77"/>
      <c r="X135" s="77"/>
      <c r="Y135" s="77"/>
      <c r="Z135" s="77"/>
      <c r="AA135" s="83"/>
      <c r="AB135" s="77" t="str">
        <f t="shared" ca="1" si="12"/>
        <v/>
      </c>
      <c r="AC135" s="84"/>
      <c r="AD135" s="84"/>
      <c r="AE135" s="85"/>
      <c r="AF135" s="84"/>
      <c r="AG135" s="84"/>
      <c r="AH135" s="85"/>
      <c r="AI135" s="85"/>
      <c r="AJ135" s="86">
        <f>IF(OR(Processos!$H135="Alienação",Processos!$H135="Concessão"),"",(N135-AI135)-(AE135+AH135))</f>
        <v>0</v>
      </c>
      <c r="AK135" s="87" t="str">
        <f t="shared" si="13"/>
        <v/>
      </c>
      <c r="AL135" s="79"/>
      <c r="AM135" s="88"/>
      <c r="AN135" s="89"/>
      <c r="AO135" s="90" t="str">
        <f>IF(Tabela1[[#This Row],[Data de aprovação]]="","",Tabela1[[#This Row],[Data de aprovação]]-Tabela1[[#This Row],[Data de abertura]])</f>
        <v/>
      </c>
      <c r="AP135" s="91"/>
      <c r="AMG135" s="93"/>
      <c r="AMH135" s="93"/>
      <c r="AMI135" s="93"/>
      <c r="AMJ135" s="93"/>
    </row>
    <row r="136" spans="1:1024" s="92" customFormat="1" ht="15" customHeight="1" x14ac:dyDescent="0.15">
      <c r="A136" s="74"/>
      <c r="B136" s="75">
        <v>131</v>
      </c>
      <c r="C136" s="76"/>
      <c r="D136" s="77"/>
      <c r="E136" s="77"/>
      <c r="F136" s="77"/>
      <c r="G136" s="77"/>
      <c r="H136" s="77"/>
      <c r="I136" s="77"/>
      <c r="J136" s="77"/>
      <c r="K136" s="78"/>
      <c r="L136" s="79"/>
      <c r="M136" s="77"/>
      <c r="N136" s="80"/>
      <c r="O136" s="77"/>
      <c r="P136" s="77"/>
      <c r="Q136" s="77"/>
      <c r="R136" s="77"/>
      <c r="S136" s="77"/>
      <c r="T136" s="77"/>
      <c r="U136" s="81"/>
      <c r="V136" s="82"/>
      <c r="W136" s="77"/>
      <c r="X136" s="77"/>
      <c r="Y136" s="77"/>
      <c r="Z136" s="77"/>
      <c r="AA136" s="83"/>
      <c r="AB136" s="77" t="str">
        <f t="shared" ref="AB136:AB167" ca="1" si="16">IF(U136="","",IF(AA136="",TODAY()-U136,IF(AA136-U136,AA136-U136,0)))</f>
        <v/>
      </c>
      <c r="AC136" s="84"/>
      <c r="AD136" s="84"/>
      <c r="AE136" s="85"/>
      <c r="AF136" s="84"/>
      <c r="AG136" s="84"/>
      <c r="AH136" s="85"/>
      <c r="AI136" s="85"/>
      <c r="AJ136" s="86">
        <f>IF(OR(Processos!$H136="Alienação",Processos!$H136="Concessão"),"",(N136-AI136)-(AE136+AH136))</f>
        <v>0</v>
      </c>
      <c r="AK136" s="87" t="str">
        <f t="shared" ref="AK136:AK167" si="17">IF(ISERROR((AJ136*100)/N136/100),"",(AJ136*100)/N136/100)</f>
        <v/>
      </c>
      <c r="AL136" s="79"/>
      <c r="AM136" s="88"/>
      <c r="AN136" s="89"/>
      <c r="AO136" s="90" t="str">
        <f>IF(Tabela1[[#This Row],[Data de aprovação]]="","",Tabela1[[#This Row],[Data de aprovação]]-Tabela1[[#This Row],[Data de abertura]])</f>
        <v/>
      </c>
      <c r="AP136" s="91"/>
      <c r="AMG136" s="93"/>
      <c r="AMH136" s="93"/>
      <c r="AMI136" s="93"/>
      <c r="AMJ136" s="93"/>
    </row>
    <row r="137" spans="1:1024" s="92" customFormat="1" ht="15" customHeight="1" x14ac:dyDescent="0.15">
      <c r="A137" s="74"/>
      <c r="B137" s="75">
        <v>132</v>
      </c>
      <c r="C137" s="76"/>
      <c r="D137" s="77"/>
      <c r="E137" s="77"/>
      <c r="F137" s="77"/>
      <c r="G137" s="77"/>
      <c r="H137" s="77"/>
      <c r="I137" s="77"/>
      <c r="J137" s="77"/>
      <c r="K137" s="78"/>
      <c r="L137" s="79"/>
      <c r="M137" s="77"/>
      <c r="N137" s="80"/>
      <c r="O137" s="77"/>
      <c r="P137" s="77"/>
      <c r="Q137" s="77"/>
      <c r="R137" s="77"/>
      <c r="S137" s="77"/>
      <c r="T137" s="77"/>
      <c r="U137" s="81"/>
      <c r="V137" s="82"/>
      <c r="W137" s="77"/>
      <c r="X137" s="77"/>
      <c r="Y137" s="77"/>
      <c r="Z137" s="77"/>
      <c r="AA137" s="83"/>
      <c r="AB137" s="77" t="str">
        <f t="shared" ca="1" si="16"/>
        <v/>
      </c>
      <c r="AC137" s="84"/>
      <c r="AD137" s="84"/>
      <c r="AE137" s="85"/>
      <c r="AF137" s="84"/>
      <c r="AG137" s="84"/>
      <c r="AH137" s="85"/>
      <c r="AI137" s="85"/>
      <c r="AJ137" s="86">
        <f>IF(OR(Processos!$H137="Alienação",Processos!$H137="Concessão"),"",(N137-AI137)-(AE137+AH137))</f>
        <v>0</v>
      </c>
      <c r="AK137" s="87" t="str">
        <f t="shared" si="17"/>
        <v/>
      </c>
      <c r="AL137" s="79"/>
      <c r="AM137" s="88"/>
      <c r="AN137" s="89"/>
      <c r="AO137" s="90" t="str">
        <f>IF(Tabela1[[#This Row],[Data de aprovação]]="","",Tabela1[[#This Row],[Data de aprovação]]-Tabela1[[#This Row],[Data de abertura]])</f>
        <v/>
      </c>
      <c r="AP137" s="91"/>
      <c r="AMG137" s="93"/>
      <c r="AMH137" s="93"/>
      <c r="AMI137" s="93"/>
      <c r="AMJ137" s="93"/>
    </row>
    <row r="138" spans="1:1024" s="92" customFormat="1" ht="15" customHeight="1" x14ac:dyDescent="0.15">
      <c r="A138" s="74"/>
      <c r="B138" s="75">
        <v>133</v>
      </c>
      <c r="C138" s="76"/>
      <c r="D138" s="77"/>
      <c r="E138" s="77"/>
      <c r="F138" s="77"/>
      <c r="G138" s="77"/>
      <c r="H138" s="77"/>
      <c r="I138" s="77"/>
      <c r="J138" s="77"/>
      <c r="K138" s="78"/>
      <c r="L138" s="79"/>
      <c r="M138" s="77"/>
      <c r="N138" s="80"/>
      <c r="O138" s="77"/>
      <c r="P138" s="77"/>
      <c r="Q138" s="77"/>
      <c r="R138" s="77"/>
      <c r="S138" s="77"/>
      <c r="T138" s="77"/>
      <c r="U138" s="81"/>
      <c r="V138" s="82"/>
      <c r="W138" s="77"/>
      <c r="X138" s="77"/>
      <c r="Y138" s="77"/>
      <c r="Z138" s="77"/>
      <c r="AA138" s="83"/>
      <c r="AB138" s="77" t="str">
        <f t="shared" ca="1" si="16"/>
        <v/>
      </c>
      <c r="AC138" s="84"/>
      <c r="AD138" s="84"/>
      <c r="AE138" s="85"/>
      <c r="AF138" s="84"/>
      <c r="AG138" s="84"/>
      <c r="AH138" s="85"/>
      <c r="AI138" s="85"/>
      <c r="AJ138" s="86">
        <f>IF(OR(Processos!$H138="Alienação",Processos!$H138="Concessão"),"",(N138-AI138)-(AE138+AH138))</f>
        <v>0</v>
      </c>
      <c r="AK138" s="87" t="str">
        <f t="shared" si="17"/>
        <v/>
      </c>
      <c r="AL138" s="79"/>
      <c r="AM138" s="88"/>
      <c r="AN138" s="89"/>
      <c r="AO138" s="90" t="str">
        <f>IF(Tabela1[[#This Row],[Data de aprovação]]="","",Tabela1[[#This Row],[Data de aprovação]]-Tabela1[[#This Row],[Data de abertura]])</f>
        <v/>
      </c>
      <c r="AP138" s="91"/>
      <c r="AMG138" s="93"/>
      <c r="AMH138" s="93"/>
      <c r="AMI138" s="93"/>
      <c r="AMJ138" s="93"/>
    </row>
    <row r="139" spans="1:1024" s="92" customFormat="1" ht="15" customHeight="1" x14ac:dyDescent="0.15">
      <c r="A139" s="74"/>
      <c r="B139" s="75">
        <v>134</v>
      </c>
      <c r="C139" s="76"/>
      <c r="D139" s="77"/>
      <c r="E139" s="77"/>
      <c r="F139" s="77"/>
      <c r="G139" s="77"/>
      <c r="H139" s="77"/>
      <c r="I139" s="77"/>
      <c r="J139" s="77"/>
      <c r="K139" s="78"/>
      <c r="L139" s="79"/>
      <c r="M139" s="77"/>
      <c r="N139" s="80"/>
      <c r="O139" s="77"/>
      <c r="P139" s="77"/>
      <c r="Q139" s="77"/>
      <c r="R139" s="77"/>
      <c r="S139" s="77"/>
      <c r="T139" s="77"/>
      <c r="U139" s="81"/>
      <c r="V139" s="82"/>
      <c r="W139" s="77"/>
      <c r="X139" s="77"/>
      <c r="Y139" s="77"/>
      <c r="Z139" s="77"/>
      <c r="AA139" s="83"/>
      <c r="AB139" s="77" t="str">
        <f t="shared" ca="1" si="16"/>
        <v/>
      </c>
      <c r="AC139" s="84"/>
      <c r="AD139" s="84"/>
      <c r="AE139" s="85"/>
      <c r="AF139" s="84"/>
      <c r="AG139" s="84"/>
      <c r="AH139" s="85"/>
      <c r="AI139" s="85"/>
      <c r="AJ139" s="86">
        <f>IF(OR(Processos!$H139="Alienação",Processos!$H139="Concessão"),"",(N139-AI139)-(AE139+AH139))</f>
        <v>0</v>
      </c>
      <c r="AK139" s="87" t="str">
        <f t="shared" si="17"/>
        <v/>
      </c>
      <c r="AL139" s="79"/>
      <c r="AM139" s="88"/>
      <c r="AN139" s="89"/>
      <c r="AO139" s="90" t="str">
        <f>IF(Tabela1[[#This Row],[Data de aprovação]]="","",Tabela1[[#This Row],[Data de aprovação]]-Tabela1[[#This Row],[Data de abertura]])</f>
        <v/>
      </c>
      <c r="AP139" s="91"/>
      <c r="AMG139" s="93"/>
      <c r="AMH139" s="93"/>
      <c r="AMI139" s="93"/>
      <c r="AMJ139" s="93"/>
    </row>
    <row r="140" spans="1:1024" s="92" customFormat="1" ht="15" customHeight="1" x14ac:dyDescent="0.15">
      <c r="A140" s="74"/>
      <c r="B140" s="75">
        <v>135</v>
      </c>
      <c r="C140" s="76"/>
      <c r="D140" s="77"/>
      <c r="E140" s="77"/>
      <c r="F140" s="77"/>
      <c r="G140" s="77"/>
      <c r="H140" s="77"/>
      <c r="I140" s="77"/>
      <c r="J140" s="77"/>
      <c r="K140" s="78"/>
      <c r="L140" s="79"/>
      <c r="M140" s="77"/>
      <c r="N140" s="80"/>
      <c r="O140" s="77"/>
      <c r="P140" s="77"/>
      <c r="Q140" s="77"/>
      <c r="R140" s="77"/>
      <c r="S140" s="77"/>
      <c r="T140" s="77"/>
      <c r="U140" s="81"/>
      <c r="V140" s="82"/>
      <c r="W140" s="77"/>
      <c r="X140" s="77"/>
      <c r="Y140" s="77"/>
      <c r="Z140" s="77"/>
      <c r="AA140" s="83"/>
      <c r="AB140" s="77" t="str">
        <f t="shared" ca="1" si="16"/>
        <v/>
      </c>
      <c r="AC140" s="84"/>
      <c r="AD140" s="84"/>
      <c r="AE140" s="85"/>
      <c r="AF140" s="84"/>
      <c r="AG140" s="84"/>
      <c r="AH140" s="85"/>
      <c r="AI140" s="85"/>
      <c r="AJ140" s="86">
        <f>IF(OR(Processos!$H140="Alienação",Processos!$H140="Concessão"),"",(N140-AI140)-(AE140+AH140))</f>
        <v>0</v>
      </c>
      <c r="AK140" s="87" t="str">
        <f t="shared" si="17"/>
        <v/>
      </c>
      <c r="AL140" s="79"/>
      <c r="AM140" s="88"/>
      <c r="AN140" s="89"/>
      <c r="AO140" s="90" t="str">
        <f>IF(Tabela1[[#This Row],[Data de aprovação]]="","",Tabela1[[#This Row],[Data de aprovação]]-Tabela1[[#This Row],[Data de abertura]])</f>
        <v/>
      </c>
      <c r="AP140" s="91"/>
      <c r="AMG140" s="93"/>
      <c r="AMH140" s="93"/>
      <c r="AMI140" s="93"/>
      <c r="AMJ140" s="93"/>
    </row>
    <row r="141" spans="1:1024" s="92" customFormat="1" ht="15" customHeight="1" x14ac:dyDescent="0.15">
      <c r="A141" s="74"/>
      <c r="B141" s="75">
        <v>136</v>
      </c>
      <c r="C141" s="76"/>
      <c r="D141" s="77"/>
      <c r="E141" s="77"/>
      <c r="F141" s="77"/>
      <c r="G141" s="77"/>
      <c r="H141" s="77"/>
      <c r="I141" s="77"/>
      <c r="J141" s="77"/>
      <c r="K141" s="78"/>
      <c r="L141" s="79"/>
      <c r="M141" s="77"/>
      <c r="N141" s="80"/>
      <c r="O141" s="77"/>
      <c r="P141" s="77"/>
      <c r="Q141" s="77"/>
      <c r="R141" s="77"/>
      <c r="S141" s="77"/>
      <c r="T141" s="77"/>
      <c r="U141" s="81"/>
      <c r="V141" s="82"/>
      <c r="W141" s="77"/>
      <c r="X141" s="77"/>
      <c r="Y141" s="77"/>
      <c r="Z141" s="77"/>
      <c r="AA141" s="83"/>
      <c r="AB141" s="77" t="str">
        <f t="shared" ca="1" si="16"/>
        <v/>
      </c>
      <c r="AC141" s="84"/>
      <c r="AD141" s="84"/>
      <c r="AE141" s="85"/>
      <c r="AF141" s="84"/>
      <c r="AG141" s="84"/>
      <c r="AH141" s="85"/>
      <c r="AI141" s="85"/>
      <c r="AJ141" s="86">
        <f>IF(OR(Processos!$H141="Alienação",Processos!$H141="Concessão"),"",(N141-AI141)-(AE141+AH141))</f>
        <v>0</v>
      </c>
      <c r="AK141" s="87" t="str">
        <f t="shared" si="17"/>
        <v/>
      </c>
      <c r="AL141" s="79"/>
      <c r="AM141" s="88"/>
      <c r="AN141" s="89"/>
      <c r="AO141" s="90" t="str">
        <f>IF(Tabela1[[#This Row],[Data de aprovação]]="","",Tabela1[[#This Row],[Data de aprovação]]-Tabela1[[#This Row],[Data de abertura]])</f>
        <v/>
      </c>
      <c r="AP141" s="91"/>
      <c r="AMG141" s="93"/>
      <c r="AMH141" s="93"/>
      <c r="AMI141" s="93"/>
      <c r="AMJ141" s="93"/>
    </row>
    <row r="142" spans="1:1024" s="92" customFormat="1" ht="15" customHeight="1" x14ac:dyDescent="0.15">
      <c r="A142" s="74"/>
      <c r="B142" s="75">
        <v>137</v>
      </c>
      <c r="C142" s="76"/>
      <c r="D142" s="77"/>
      <c r="E142" s="77"/>
      <c r="F142" s="77"/>
      <c r="G142" s="77"/>
      <c r="H142" s="77"/>
      <c r="I142" s="77"/>
      <c r="J142" s="77"/>
      <c r="K142" s="78"/>
      <c r="L142" s="79"/>
      <c r="M142" s="77"/>
      <c r="N142" s="80"/>
      <c r="O142" s="77"/>
      <c r="P142" s="77"/>
      <c r="Q142" s="77"/>
      <c r="R142" s="77"/>
      <c r="S142" s="77"/>
      <c r="T142" s="77"/>
      <c r="U142" s="81"/>
      <c r="V142" s="82"/>
      <c r="W142" s="77"/>
      <c r="X142" s="77"/>
      <c r="Y142" s="77"/>
      <c r="Z142" s="77"/>
      <c r="AA142" s="83"/>
      <c r="AB142" s="77" t="str">
        <f t="shared" ca="1" si="16"/>
        <v/>
      </c>
      <c r="AC142" s="84"/>
      <c r="AD142" s="84"/>
      <c r="AE142" s="85"/>
      <c r="AF142" s="84"/>
      <c r="AG142" s="84"/>
      <c r="AH142" s="85"/>
      <c r="AI142" s="85"/>
      <c r="AJ142" s="86">
        <f>IF(OR(Processos!$H142="Alienação",Processos!$H142="Concessão"),"",(N142-AI142)-(AE142+AH142))</f>
        <v>0</v>
      </c>
      <c r="AK142" s="87" t="str">
        <f t="shared" si="17"/>
        <v/>
      </c>
      <c r="AL142" s="79"/>
      <c r="AM142" s="88"/>
      <c r="AN142" s="89"/>
      <c r="AO142" s="90" t="str">
        <f>IF(Tabela1[[#This Row],[Data de aprovação]]="","",Tabela1[[#This Row],[Data de aprovação]]-Tabela1[[#This Row],[Data de abertura]])</f>
        <v/>
      </c>
      <c r="AP142" s="91"/>
      <c r="AMG142" s="93"/>
      <c r="AMH142" s="93"/>
      <c r="AMI142" s="93"/>
      <c r="AMJ142" s="93"/>
    </row>
    <row r="143" spans="1:1024" s="92" customFormat="1" ht="15" customHeight="1" x14ac:dyDescent="0.15">
      <c r="A143" s="74"/>
      <c r="B143" s="75">
        <v>138</v>
      </c>
      <c r="C143" s="76"/>
      <c r="D143" s="77"/>
      <c r="E143" s="77"/>
      <c r="F143" s="77"/>
      <c r="G143" s="77"/>
      <c r="H143" s="77"/>
      <c r="I143" s="77"/>
      <c r="J143" s="77"/>
      <c r="K143" s="78"/>
      <c r="L143" s="79"/>
      <c r="M143" s="77"/>
      <c r="N143" s="80"/>
      <c r="O143" s="77"/>
      <c r="P143" s="77"/>
      <c r="Q143" s="77"/>
      <c r="R143" s="77"/>
      <c r="S143" s="77"/>
      <c r="T143" s="77"/>
      <c r="U143" s="81"/>
      <c r="V143" s="82"/>
      <c r="W143" s="77"/>
      <c r="X143" s="77"/>
      <c r="Y143" s="77"/>
      <c r="Z143" s="77"/>
      <c r="AA143" s="83"/>
      <c r="AB143" s="77" t="str">
        <f t="shared" ca="1" si="16"/>
        <v/>
      </c>
      <c r="AC143" s="84"/>
      <c r="AD143" s="84"/>
      <c r="AE143" s="85"/>
      <c r="AF143" s="84"/>
      <c r="AG143" s="84"/>
      <c r="AH143" s="85"/>
      <c r="AI143" s="85"/>
      <c r="AJ143" s="86">
        <f>IF(OR(Processos!$H143="Alienação",Processos!$H143="Concessão"),"",(N143-AI143)-(AE143+AH143))</f>
        <v>0</v>
      </c>
      <c r="AK143" s="87" t="str">
        <f t="shared" si="17"/>
        <v/>
      </c>
      <c r="AL143" s="79"/>
      <c r="AM143" s="88"/>
      <c r="AN143" s="89"/>
      <c r="AO143" s="90" t="str">
        <f>IF(Tabela1[[#This Row],[Data de aprovação]]="","",Tabela1[[#This Row],[Data de aprovação]]-Tabela1[[#This Row],[Data de abertura]])</f>
        <v/>
      </c>
      <c r="AP143" s="91"/>
      <c r="AMG143" s="93"/>
      <c r="AMH143" s="93"/>
      <c r="AMI143" s="93"/>
      <c r="AMJ143" s="93"/>
    </row>
    <row r="144" spans="1:1024" s="92" customFormat="1" ht="15" customHeight="1" x14ac:dyDescent="0.15">
      <c r="A144" s="74"/>
      <c r="B144" s="75">
        <v>139</v>
      </c>
      <c r="C144" s="76"/>
      <c r="D144" s="77"/>
      <c r="E144" s="77"/>
      <c r="F144" s="77"/>
      <c r="G144" s="77"/>
      <c r="H144" s="77"/>
      <c r="I144" s="77"/>
      <c r="J144" s="77"/>
      <c r="K144" s="78"/>
      <c r="L144" s="79"/>
      <c r="M144" s="77"/>
      <c r="N144" s="80"/>
      <c r="O144" s="77"/>
      <c r="P144" s="77"/>
      <c r="Q144" s="77"/>
      <c r="R144" s="77"/>
      <c r="S144" s="77"/>
      <c r="T144" s="77"/>
      <c r="U144" s="81"/>
      <c r="V144" s="82"/>
      <c r="W144" s="77"/>
      <c r="X144" s="77"/>
      <c r="Y144" s="77"/>
      <c r="Z144" s="77"/>
      <c r="AA144" s="83"/>
      <c r="AB144" s="77" t="str">
        <f t="shared" ca="1" si="16"/>
        <v/>
      </c>
      <c r="AC144" s="84"/>
      <c r="AD144" s="84"/>
      <c r="AE144" s="85"/>
      <c r="AF144" s="84"/>
      <c r="AG144" s="84"/>
      <c r="AH144" s="85"/>
      <c r="AI144" s="85"/>
      <c r="AJ144" s="86">
        <f>IF(OR(Processos!$H144="Alienação",Processos!$H144="Concessão"),"",(N144-AI144)-(AE144+AH144))</f>
        <v>0</v>
      </c>
      <c r="AK144" s="87" t="str">
        <f t="shared" si="17"/>
        <v/>
      </c>
      <c r="AL144" s="79"/>
      <c r="AM144" s="88"/>
      <c r="AN144" s="89"/>
      <c r="AO144" s="90" t="str">
        <f>IF(Tabela1[[#This Row],[Data de aprovação]]="","",Tabela1[[#This Row],[Data de aprovação]]-Tabela1[[#This Row],[Data de abertura]])</f>
        <v/>
      </c>
      <c r="AP144" s="91"/>
      <c r="AMG144" s="93"/>
      <c r="AMH144" s="93"/>
      <c r="AMI144" s="93"/>
      <c r="AMJ144" s="93"/>
    </row>
    <row r="145" spans="1:1024" s="92" customFormat="1" ht="15" customHeight="1" x14ac:dyDescent="0.15">
      <c r="A145" s="74"/>
      <c r="B145" s="75">
        <v>140</v>
      </c>
      <c r="C145" s="76"/>
      <c r="D145" s="77"/>
      <c r="E145" s="77"/>
      <c r="F145" s="77"/>
      <c r="G145" s="77"/>
      <c r="H145" s="77"/>
      <c r="I145" s="77"/>
      <c r="J145" s="77"/>
      <c r="K145" s="78"/>
      <c r="L145" s="79"/>
      <c r="M145" s="77"/>
      <c r="N145" s="80"/>
      <c r="O145" s="77"/>
      <c r="P145" s="77"/>
      <c r="Q145" s="77"/>
      <c r="R145" s="77"/>
      <c r="S145" s="77"/>
      <c r="T145" s="77"/>
      <c r="U145" s="81"/>
      <c r="V145" s="82"/>
      <c r="W145" s="77"/>
      <c r="X145" s="77"/>
      <c r="Y145" s="77"/>
      <c r="Z145" s="77"/>
      <c r="AA145" s="83"/>
      <c r="AB145" s="77" t="str">
        <f t="shared" ca="1" si="16"/>
        <v/>
      </c>
      <c r="AC145" s="84"/>
      <c r="AD145" s="84"/>
      <c r="AE145" s="85"/>
      <c r="AF145" s="84"/>
      <c r="AG145" s="84"/>
      <c r="AH145" s="85"/>
      <c r="AI145" s="85"/>
      <c r="AJ145" s="86">
        <f>IF(OR(Processos!$H145="Alienação",Processos!$H145="Concessão"),"",(N145-AI145)-(AE145+AH145))</f>
        <v>0</v>
      </c>
      <c r="AK145" s="87" t="str">
        <f t="shared" si="17"/>
        <v/>
      </c>
      <c r="AL145" s="79"/>
      <c r="AM145" s="88"/>
      <c r="AN145" s="89"/>
      <c r="AO145" s="90" t="str">
        <f>IF(Tabela1[[#This Row],[Data de aprovação]]="","",Tabela1[[#This Row],[Data de aprovação]]-Tabela1[[#This Row],[Data de abertura]])</f>
        <v/>
      </c>
      <c r="AP145" s="91"/>
      <c r="AMG145" s="93"/>
      <c r="AMH145" s="93"/>
      <c r="AMI145" s="93"/>
      <c r="AMJ145" s="93"/>
    </row>
    <row r="146" spans="1:1024" s="92" customFormat="1" ht="15" customHeight="1" x14ac:dyDescent="0.15">
      <c r="A146" s="74"/>
      <c r="B146" s="75">
        <v>141</v>
      </c>
      <c r="C146" s="76"/>
      <c r="D146" s="77"/>
      <c r="E146" s="77"/>
      <c r="F146" s="77"/>
      <c r="G146" s="77"/>
      <c r="H146" s="77"/>
      <c r="I146" s="77"/>
      <c r="J146" s="77"/>
      <c r="K146" s="78"/>
      <c r="L146" s="79"/>
      <c r="M146" s="77"/>
      <c r="N146" s="80"/>
      <c r="O146" s="77"/>
      <c r="P146" s="77"/>
      <c r="Q146" s="77"/>
      <c r="R146" s="77"/>
      <c r="S146" s="77"/>
      <c r="T146" s="77"/>
      <c r="U146" s="81"/>
      <c r="V146" s="82"/>
      <c r="W146" s="77"/>
      <c r="X146" s="77"/>
      <c r="Y146" s="77"/>
      <c r="Z146" s="77"/>
      <c r="AA146" s="83"/>
      <c r="AB146" s="77" t="str">
        <f t="shared" ca="1" si="16"/>
        <v/>
      </c>
      <c r="AC146" s="84"/>
      <c r="AD146" s="84"/>
      <c r="AE146" s="85"/>
      <c r="AF146" s="84"/>
      <c r="AG146" s="84"/>
      <c r="AH146" s="85"/>
      <c r="AI146" s="85"/>
      <c r="AJ146" s="86">
        <f>IF(OR(Processos!$H146="Alienação",Processos!$H146="Concessão"),"",(N146-AI146)-(AE146+AH146))</f>
        <v>0</v>
      </c>
      <c r="AK146" s="87" t="str">
        <f t="shared" si="17"/>
        <v/>
      </c>
      <c r="AL146" s="79"/>
      <c r="AM146" s="88"/>
      <c r="AN146" s="89"/>
      <c r="AO146" s="90" t="str">
        <f>IF(Tabela1[[#This Row],[Data de aprovação]]="","",Tabela1[[#This Row],[Data de aprovação]]-Tabela1[[#This Row],[Data de abertura]])</f>
        <v/>
      </c>
      <c r="AP146" s="91"/>
      <c r="AMG146" s="93"/>
      <c r="AMH146" s="93"/>
      <c r="AMI146" s="93"/>
      <c r="AMJ146" s="93"/>
    </row>
    <row r="147" spans="1:1024" s="92" customFormat="1" ht="15" customHeight="1" x14ac:dyDescent="0.15">
      <c r="A147" s="74"/>
      <c r="B147" s="75">
        <v>142</v>
      </c>
      <c r="C147" s="76"/>
      <c r="D147" s="77"/>
      <c r="E147" s="77"/>
      <c r="F147" s="77"/>
      <c r="G147" s="77"/>
      <c r="H147" s="77"/>
      <c r="I147" s="77"/>
      <c r="J147" s="77"/>
      <c r="K147" s="78"/>
      <c r="L147" s="79"/>
      <c r="M147" s="77"/>
      <c r="N147" s="80"/>
      <c r="O147" s="77"/>
      <c r="P147" s="77"/>
      <c r="Q147" s="77"/>
      <c r="R147" s="77"/>
      <c r="S147" s="77"/>
      <c r="T147" s="77"/>
      <c r="U147" s="81"/>
      <c r="V147" s="82"/>
      <c r="W147" s="77"/>
      <c r="X147" s="77"/>
      <c r="Y147" s="77"/>
      <c r="Z147" s="77"/>
      <c r="AA147" s="83"/>
      <c r="AB147" s="77" t="str">
        <f t="shared" ca="1" si="16"/>
        <v/>
      </c>
      <c r="AC147" s="84"/>
      <c r="AD147" s="84"/>
      <c r="AE147" s="85"/>
      <c r="AF147" s="84"/>
      <c r="AG147" s="84"/>
      <c r="AH147" s="85"/>
      <c r="AI147" s="85"/>
      <c r="AJ147" s="86">
        <f>IF(OR(Processos!$H147="Alienação",Processos!$H147="Concessão"),"",(N147-AI147)-(AE147+AH147))</f>
        <v>0</v>
      </c>
      <c r="AK147" s="87" t="str">
        <f t="shared" si="17"/>
        <v/>
      </c>
      <c r="AL147" s="79"/>
      <c r="AM147" s="88"/>
      <c r="AN147" s="89"/>
      <c r="AO147" s="90" t="str">
        <f>IF(Tabela1[[#This Row],[Data de aprovação]]="","",Tabela1[[#This Row],[Data de aprovação]]-Tabela1[[#This Row],[Data de abertura]])</f>
        <v/>
      </c>
      <c r="AP147" s="91"/>
      <c r="AMG147" s="93"/>
      <c r="AMH147" s="93"/>
      <c r="AMI147" s="93"/>
      <c r="AMJ147" s="93"/>
    </row>
    <row r="148" spans="1:1024" s="92" customFormat="1" ht="15" customHeight="1" x14ac:dyDescent="0.15">
      <c r="A148" s="74"/>
      <c r="B148" s="75">
        <v>143</v>
      </c>
      <c r="C148" s="76"/>
      <c r="D148" s="77"/>
      <c r="E148" s="77"/>
      <c r="F148" s="77"/>
      <c r="G148" s="77"/>
      <c r="H148" s="77"/>
      <c r="I148" s="77"/>
      <c r="J148" s="77"/>
      <c r="K148" s="78"/>
      <c r="L148" s="79"/>
      <c r="M148" s="77"/>
      <c r="N148" s="80"/>
      <c r="O148" s="77"/>
      <c r="P148" s="77"/>
      <c r="Q148" s="77"/>
      <c r="R148" s="77"/>
      <c r="S148" s="77"/>
      <c r="T148" s="77"/>
      <c r="U148" s="81"/>
      <c r="V148" s="82"/>
      <c r="W148" s="77"/>
      <c r="X148" s="77"/>
      <c r="Y148" s="77"/>
      <c r="Z148" s="77"/>
      <c r="AA148" s="83"/>
      <c r="AB148" s="77" t="str">
        <f t="shared" ca="1" si="16"/>
        <v/>
      </c>
      <c r="AC148" s="84"/>
      <c r="AD148" s="84"/>
      <c r="AE148" s="85"/>
      <c r="AF148" s="84"/>
      <c r="AG148" s="84"/>
      <c r="AH148" s="85"/>
      <c r="AI148" s="85"/>
      <c r="AJ148" s="86">
        <f>IF(OR(Processos!$H148="Alienação",Processos!$H148="Concessão"),"",(N148-AI148)-(AE148+AH148))</f>
        <v>0</v>
      </c>
      <c r="AK148" s="87" t="str">
        <f t="shared" si="17"/>
        <v/>
      </c>
      <c r="AL148" s="79"/>
      <c r="AM148" s="88"/>
      <c r="AN148" s="89"/>
      <c r="AO148" s="90" t="str">
        <f>IF(Tabela1[[#This Row],[Data de aprovação]]="","",Tabela1[[#This Row],[Data de aprovação]]-Tabela1[[#This Row],[Data de abertura]])</f>
        <v/>
      </c>
      <c r="AP148" s="91"/>
      <c r="AMG148" s="93"/>
      <c r="AMH148" s="93"/>
      <c r="AMI148" s="93"/>
      <c r="AMJ148" s="93"/>
    </row>
    <row r="149" spans="1:1024" s="92" customFormat="1" ht="15" customHeight="1" x14ac:dyDescent="0.15">
      <c r="A149" s="74"/>
      <c r="B149" s="75">
        <v>144</v>
      </c>
      <c r="C149" s="76"/>
      <c r="D149" s="77"/>
      <c r="E149" s="77"/>
      <c r="F149" s="77"/>
      <c r="G149" s="77"/>
      <c r="H149" s="77"/>
      <c r="I149" s="77"/>
      <c r="J149" s="77"/>
      <c r="K149" s="78"/>
      <c r="L149" s="79"/>
      <c r="M149" s="77"/>
      <c r="N149" s="80"/>
      <c r="O149" s="77"/>
      <c r="P149" s="77"/>
      <c r="Q149" s="77"/>
      <c r="R149" s="77"/>
      <c r="S149" s="77"/>
      <c r="T149" s="77"/>
      <c r="U149" s="81"/>
      <c r="V149" s="82"/>
      <c r="W149" s="77"/>
      <c r="X149" s="77"/>
      <c r="Y149" s="77"/>
      <c r="Z149" s="77"/>
      <c r="AA149" s="83"/>
      <c r="AB149" s="77" t="str">
        <f t="shared" ca="1" si="16"/>
        <v/>
      </c>
      <c r="AC149" s="84"/>
      <c r="AD149" s="84"/>
      <c r="AE149" s="85"/>
      <c r="AF149" s="84"/>
      <c r="AG149" s="84"/>
      <c r="AH149" s="85"/>
      <c r="AI149" s="85"/>
      <c r="AJ149" s="86">
        <f>IF(OR(Processos!$H149="Alienação",Processos!$H149="Concessão"),"",(N149-AI149)-(AE149+AH149))</f>
        <v>0</v>
      </c>
      <c r="AK149" s="87" t="str">
        <f t="shared" si="17"/>
        <v/>
      </c>
      <c r="AL149" s="79"/>
      <c r="AM149" s="88"/>
      <c r="AN149" s="89"/>
      <c r="AO149" s="90" t="str">
        <f>IF(Tabela1[[#This Row],[Data de aprovação]]="","",Tabela1[[#This Row],[Data de aprovação]]-Tabela1[[#This Row],[Data de abertura]])</f>
        <v/>
      </c>
      <c r="AP149" s="91"/>
      <c r="AMG149" s="93"/>
      <c r="AMH149" s="93"/>
      <c r="AMI149" s="93"/>
      <c r="AMJ149" s="93"/>
    </row>
    <row r="150" spans="1:1024" s="92" customFormat="1" ht="15" customHeight="1" x14ac:dyDescent="0.15">
      <c r="A150" s="74"/>
      <c r="B150" s="75">
        <v>145</v>
      </c>
      <c r="C150" s="76"/>
      <c r="D150" s="77"/>
      <c r="E150" s="77"/>
      <c r="F150" s="77"/>
      <c r="G150" s="77"/>
      <c r="H150" s="77"/>
      <c r="I150" s="77"/>
      <c r="J150" s="77"/>
      <c r="K150" s="78"/>
      <c r="L150" s="79"/>
      <c r="M150" s="77"/>
      <c r="N150" s="80"/>
      <c r="O150" s="77"/>
      <c r="P150" s="77"/>
      <c r="Q150" s="77"/>
      <c r="R150" s="77"/>
      <c r="S150" s="77"/>
      <c r="T150" s="77"/>
      <c r="U150" s="81"/>
      <c r="V150" s="82"/>
      <c r="W150" s="77"/>
      <c r="X150" s="77"/>
      <c r="Y150" s="77"/>
      <c r="Z150" s="77"/>
      <c r="AA150" s="83"/>
      <c r="AB150" s="77" t="str">
        <f t="shared" ca="1" si="16"/>
        <v/>
      </c>
      <c r="AC150" s="84"/>
      <c r="AD150" s="84"/>
      <c r="AE150" s="85"/>
      <c r="AF150" s="84"/>
      <c r="AG150" s="84"/>
      <c r="AH150" s="85"/>
      <c r="AI150" s="85"/>
      <c r="AJ150" s="86">
        <f>IF(OR(Processos!$H150="Alienação",Processos!$H150="Concessão"),"",(N150-AI150)-(AE150+AH150))</f>
        <v>0</v>
      </c>
      <c r="AK150" s="87" t="str">
        <f t="shared" si="17"/>
        <v/>
      </c>
      <c r="AL150" s="79"/>
      <c r="AM150" s="88"/>
      <c r="AN150" s="89"/>
      <c r="AO150" s="90" t="str">
        <f>IF(Tabela1[[#This Row],[Data de aprovação]]="","",Tabela1[[#This Row],[Data de aprovação]]-Tabela1[[#This Row],[Data de abertura]])</f>
        <v/>
      </c>
      <c r="AP150" s="91"/>
      <c r="AMG150" s="93"/>
      <c r="AMH150" s="93"/>
      <c r="AMI150" s="93"/>
      <c r="AMJ150" s="93"/>
    </row>
    <row r="151" spans="1:1024" s="92" customFormat="1" ht="15" customHeight="1" x14ac:dyDescent="0.15">
      <c r="A151" s="74"/>
      <c r="B151" s="75">
        <v>146</v>
      </c>
      <c r="C151" s="76"/>
      <c r="D151" s="77"/>
      <c r="E151" s="77"/>
      <c r="F151" s="77"/>
      <c r="G151" s="77"/>
      <c r="H151" s="77"/>
      <c r="I151" s="77"/>
      <c r="J151" s="77"/>
      <c r="K151" s="78"/>
      <c r="L151" s="79"/>
      <c r="M151" s="77"/>
      <c r="N151" s="80"/>
      <c r="O151" s="77"/>
      <c r="P151" s="77"/>
      <c r="Q151" s="77"/>
      <c r="R151" s="77"/>
      <c r="S151" s="77"/>
      <c r="T151" s="77"/>
      <c r="U151" s="81"/>
      <c r="V151" s="82"/>
      <c r="W151" s="77"/>
      <c r="X151" s="77"/>
      <c r="Y151" s="77"/>
      <c r="Z151" s="77"/>
      <c r="AA151" s="83"/>
      <c r="AB151" s="77" t="str">
        <f t="shared" ca="1" si="16"/>
        <v/>
      </c>
      <c r="AC151" s="84"/>
      <c r="AD151" s="84"/>
      <c r="AE151" s="85"/>
      <c r="AF151" s="84"/>
      <c r="AG151" s="84"/>
      <c r="AH151" s="85"/>
      <c r="AI151" s="85"/>
      <c r="AJ151" s="86">
        <f>IF(OR(Processos!$H151="Alienação",Processos!$H151="Concessão"),"",(N151-AI151)-(AE151+AH151))</f>
        <v>0</v>
      </c>
      <c r="AK151" s="87" t="str">
        <f t="shared" si="17"/>
        <v/>
      </c>
      <c r="AL151" s="79"/>
      <c r="AM151" s="88"/>
      <c r="AN151" s="89"/>
      <c r="AO151" s="90" t="str">
        <f>IF(Tabela1[[#This Row],[Data de aprovação]]="","",Tabela1[[#This Row],[Data de aprovação]]-Tabela1[[#This Row],[Data de abertura]])</f>
        <v/>
      </c>
      <c r="AP151" s="91"/>
      <c r="AMG151" s="93"/>
      <c r="AMH151" s="93"/>
      <c r="AMI151" s="93"/>
      <c r="AMJ151" s="93"/>
    </row>
    <row r="152" spans="1:1024" s="92" customFormat="1" ht="15" customHeight="1" x14ac:dyDescent="0.15">
      <c r="A152" s="74"/>
      <c r="B152" s="75">
        <v>147</v>
      </c>
      <c r="C152" s="76"/>
      <c r="D152" s="77"/>
      <c r="E152" s="77"/>
      <c r="F152" s="77"/>
      <c r="G152" s="77"/>
      <c r="H152" s="77"/>
      <c r="I152" s="77"/>
      <c r="J152" s="77"/>
      <c r="K152" s="78"/>
      <c r="L152" s="79"/>
      <c r="M152" s="77"/>
      <c r="N152" s="80"/>
      <c r="O152" s="77"/>
      <c r="P152" s="77"/>
      <c r="Q152" s="77"/>
      <c r="R152" s="77"/>
      <c r="S152" s="77"/>
      <c r="T152" s="77"/>
      <c r="U152" s="81"/>
      <c r="V152" s="82"/>
      <c r="W152" s="77"/>
      <c r="X152" s="77"/>
      <c r="Y152" s="77"/>
      <c r="Z152" s="77"/>
      <c r="AA152" s="83"/>
      <c r="AB152" s="77" t="str">
        <f t="shared" ca="1" si="16"/>
        <v/>
      </c>
      <c r="AC152" s="84"/>
      <c r="AD152" s="84"/>
      <c r="AE152" s="85"/>
      <c r="AF152" s="84"/>
      <c r="AG152" s="84"/>
      <c r="AH152" s="85"/>
      <c r="AI152" s="85"/>
      <c r="AJ152" s="86">
        <f>IF(OR(Processos!$H152="Alienação",Processos!$H152="Concessão"),"",(N152-AI152)-(AE152+AH152))</f>
        <v>0</v>
      </c>
      <c r="AK152" s="87" t="str">
        <f t="shared" si="17"/>
        <v/>
      </c>
      <c r="AL152" s="79"/>
      <c r="AM152" s="88"/>
      <c r="AN152" s="89"/>
      <c r="AO152" s="90" t="str">
        <f>IF(Tabela1[[#This Row],[Data de aprovação]]="","",Tabela1[[#This Row],[Data de aprovação]]-Tabela1[[#This Row],[Data de abertura]])</f>
        <v/>
      </c>
      <c r="AP152" s="91"/>
      <c r="AMG152" s="93"/>
      <c r="AMH152" s="93"/>
      <c r="AMI152" s="93"/>
      <c r="AMJ152" s="93"/>
    </row>
    <row r="153" spans="1:1024" s="92" customFormat="1" ht="15" customHeight="1" x14ac:dyDescent="0.15">
      <c r="A153" s="74"/>
      <c r="B153" s="75">
        <v>148</v>
      </c>
      <c r="C153" s="76"/>
      <c r="D153" s="77"/>
      <c r="E153" s="77"/>
      <c r="F153" s="77"/>
      <c r="G153" s="77"/>
      <c r="H153" s="77"/>
      <c r="I153" s="77"/>
      <c r="J153" s="77"/>
      <c r="K153" s="78"/>
      <c r="L153" s="79"/>
      <c r="M153" s="77"/>
      <c r="N153" s="80"/>
      <c r="O153" s="77"/>
      <c r="P153" s="77"/>
      <c r="Q153" s="77"/>
      <c r="R153" s="77"/>
      <c r="S153" s="77"/>
      <c r="T153" s="77"/>
      <c r="U153" s="81"/>
      <c r="V153" s="82"/>
      <c r="W153" s="77"/>
      <c r="X153" s="77"/>
      <c r="Y153" s="77"/>
      <c r="Z153" s="77"/>
      <c r="AA153" s="83"/>
      <c r="AB153" s="77" t="str">
        <f t="shared" ca="1" si="16"/>
        <v/>
      </c>
      <c r="AC153" s="84"/>
      <c r="AD153" s="84"/>
      <c r="AE153" s="85"/>
      <c r="AF153" s="84"/>
      <c r="AG153" s="84"/>
      <c r="AH153" s="85"/>
      <c r="AI153" s="85"/>
      <c r="AJ153" s="86">
        <f>IF(OR(Processos!$H153="Alienação",Processos!$H153="Concessão"),"",(N153-AI153)-(AE153+AH153))</f>
        <v>0</v>
      </c>
      <c r="AK153" s="87" t="str">
        <f t="shared" si="17"/>
        <v/>
      </c>
      <c r="AL153" s="79"/>
      <c r="AM153" s="88"/>
      <c r="AN153" s="89"/>
      <c r="AO153" s="90" t="str">
        <f>IF(Tabela1[[#This Row],[Data de aprovação]]="","",Tabela1[[#This Row],[Data de aprovação]]-Tabela1[[#This Row],[Data de abertura]])</f>
        <v/>
      </c>
      <c r="AP153" s="91"/>
      <c r="AMG153" s="93"/>
      <c r="AMH153" s="93"/>
      <c r="AMI153" s="93"/>
      <c r="AMJ153" s="93"/>
    </row>
    <row r="154" spans="1:1024" s="92" customFormat="1" ht="15" customHeight="1" x14ac:dyDescent="0.15">
      <c r="A154" s="74"/>
      <c r="B154" s="75">
        <v>149</v>
      </c>
      <c r="C154" s="76"/>
      <c r="D154" s="77"/>
      <c r="E154" s="77"/>
      <c r="F154" s="77"/>
      <c r="G154" s="77"/>
      <c r="H154" s="77"/>
      <c r="I154" s="77"/>
      <c r="J154" s="77"/>
      <c r="K154" s="78"/>
      <c r="L154" s="79"/>
      <c r="M154" s="77"/>
      <c r="N154" s="80"/>
      <c r="O154" s="77"/>
      <c r="P154" s="77"/>
      <c r="Q154" s="77"/>
      <c r="R154" s="77"/>
      <c r="S154" s="77"/>
      <c r="T154" s="77"/>
      <c r="U154" s="81"/>
      <c r="V154" s="82"/>
      <c r="W154" s="77"/>
      <c r="X154" s="77"/>
      <c r="Y154" s="77"/>
      <c r="Z154" s="77"/>
      <c r="AA154" s="83"/>
      <c r="AB154" s="77" t="str">
        <f t="shared" ca="1" si="16"/>
        <v/>
      </c>
      <c r="AC154" s="84"/>
      <c r="AD154" s="84"/>
      <c r="AE154" s="85"/>
      <c r="AF154" s="84"/>
      <c r="AG154" s="84"/>
      <c r="AH154" s="85"/>
      <c r="AI154" s="85"/>
      <c r="AJ154" s="86">
        <f>IF(OR(Processos!$H154="Alienação",Processos!$H154="Concessão"),"",(N154-AI154)-(AE154+AH154))</f>
        <v>0</v>
      </c>
      <c r="AK154" s="87" t="str">
        <f t="shared" si="17"/>
        <v/>
      </c>
      <c r="AL154" s="79"/>
      <c r="AM154" s="88"/>
      <c r="AN154" s="89"/>
      <c r="AO154" s="90" t="str">
        <f>IF(Tabela1[[#This Row],[Data de aprovação]]="","",Tabela1[[#This Row],[Data de aprovação]]-Tabela1[[#This Row],[Data de abertura]])</f>
        <v/>
      </c>
      <c r="AP154" s="91"/>
      <c r="AMG154" s="93"/>
      <c r="AMH154" s="93"/>
      <c r="AMI154" s="93"/>
      <c r="AMJ154" s="93"/>
    </row>
    <row r="155" spans="1:1024" s="92" customFormat="1" ht="15" customHeight="1" x14ac:dyDescent="0.15">
      <c r="A155" s="74"/>
      <c r="B155" s="75">
        <v>150</v>
      </c>
      <c r="C155" s="76"/>
      <c r="D155" s="77"/>
      <c r="E155" s="77"/>
      <c r="F155" s="77"/>
      <c r="G155" s="77"/>
      <c r="H155" s="77"/>
      <c r="I155" s="77"/>
      <c r="J155" s="77"/>
      <c r="K155" s="78"/>
      <c r="L155" s="79"/>
      <c r="M155" s="77"/>
      <c r="N155" s="80"/>
      <c r="O155" s="77"/>
      <c r="P155" s="77"/>
      <c r="Q155" s="77"/>
      <c r="R155" s="77"/>
      <c r="S155" s="77"/>
      <c r="T155" s="77"/>
      <c r="U155" s="81"/>
      <c r="V155" s="82"/>
      <c r="W155" s="77"/>
      <c r="X155" s="77"/>
      <c r="Y155" s="77"/>
      <c r="Z155" s="77"/>
      <c r="AA155" s="83"/>
      <c r="AB155" s="77" t="str">
        <f t="shared" ca="1" si="16"/>
        <v/>
      </c>
      <c r="AC155" s="84"/>
      <c r="AD155" s="84"/>
      <c r="AE155" s="85"/>
      <c r="AF155" s="84"/>
      <c r="AG155" s="84"/>
      <c r="AH155" s="85"/>
      <c r="AI155" s="85"/>
      <c r="AJ155" s="86">
        <f>IF(OR(Processos!$H155="Alienação",Processos!$H155="Concessão"),"",(N155-AI155)-(AE155+AH155))</f>
        <v>0</v>
      </c>
      <c r="AK155" s="87" t="str">
        <f t="shared" si="17"/>
        <v/>
      </c>
      <c r="AL155" s="79"/>
      <c r="AM155" s="88"/>
      <c r="AN155" s="89"/>
      <c r="AO155" s="90" t="str">
        <f>IF(Tabela1[[#This Row],[Data de aprovação]]="","",Tabela1[[#This Row],[Data de aprovação]]-Tabela1[[#This Row],[Data de abertura]])</f>
        <v/>
      </c>
      <c r="AP155" s="91"/>
      <c r="AMG155" s="93"/>
      <c r="AMH155" s="93"/>
      <c r="AMI155" s="93"/>
      <c r="AMJ155" s="93"/>
    </row>
    <row r="156" spans="1:1024" s="92" customFormat="1" ht="15" customHeight="1" x14ac:dyDescent="0.15">
      <c r="A156" s="74"/>
      <c r="B156" s="75">
        <v>151</v>
      </c>
      <c r="C156" s="76"/>
      <c r="D156" s="77"/>
      <c r="E156" s="77"/>
      <c r="F156" s="77"/>
      <c r="G156" s="77"/>
      <c r="H156" s="77"/>
      <c r="I156" s="77"/>
      <c r="J156" s="77"/>
      <c r="K156" s="78"/>
      <c r="L156" s="79"/>
      <c r="M156" s="77"/>
      <c r="N156" s="80"/>
      <c r="O156" s="77"/>
      <c r="P156" s="77"/>
      <c r="Q156" s="77"/>
      <c r="R156" s="77"/>
      <c r="S156" s="77"/>
      <c r="T156" s="77"/>
      <c r="U156" s="81"/>
      <c r="V156" s="82"/>
      <c r="W156" s="77"/>
      <c r="X156" s="77"/>
      <c r="Y156" s="77"/>
      <c r="Z156" s="77"/>
      <c r="AA156" s="83"/>
      <c r="AB156" s="77" t="str">
        <f t="shared" ca="1" si="16"/>
        <v/>
      </c>
      <c r="AC156" s="84"/>
      <c r="AD156" s="84"/>
      <c r="AE156" s="85"/>
      <c r="AF156" s="84"/>
      <c r="AG156" s="84"/>
      <c r="AH156" s="85"/>
      <c r="AI156" s="85"/>
      <c r="AJ156" s="86">
        <f>IF(OR(Processos!$H156="Alienação",Processos!$H156="Concessão"),"",(N156-AI156)-(AE156+AH156))</f>
        <v>0</v>
      </c>
      <c r="AK156" s="87" t="str">
        <f t="shared" si="17"/>
        <v/>
      </c>
      <c r="AL156" s="79"/>
      <c r="AM156" s="88"/>
      <c r="AN156" s="89"/>
      <c r="AO156" s="90" t="str">
        <f>IF(Tabela1[[#This Row],[Data de aprovação]]="","",Tabela1[[#This Row],[Data de aprovação]]-Tabela1[[#This Row],[Data de abertura]])</f>
        <v/>
      </c>
      <c r="AP156" s="91"/>
      <c r="AMG156" s="93"/>
      <c r="AMH156" s="93"/>
      <c r="AMI156" s="93"/>
      <c r="AMJ156" s="93"/>
    </row>
    <row r="157" spans="1:1024" s="92" customFormat="1" ht="15" customHeight="1" x14ac:dyDescent="0.15">
      <c r="A157" s="74"/>
      <c r="B157" s="75">
        <v>152</v>
      </c>
      <c r="C157" s="76"/>
      <c r="D157" s="77"/>
      <c r="E157" s="77"/>
      <c r="F157" s="77"/>
      <c r="G157" s="77"/>
      <c r="H157" s="77"/>
      <c r="I157" s="77"/>
      <c r="J157" s="77"/>
      <c r="K157" s="78"/>
      <c r="L157" s="79"/>
      <c r="M157" s="77"/>
      <c r="N157" s="80"/>
      <c r="O157" s="77"/>
      <c r="P157" s="77"/>
      <c r="Q157" s="77"/>
      <c r="R157" s="77"/>
      <c r="S157" s="77"/>
      <c r="T157" s="77"/>
      <c r="U157" s="81"/>
      <c r="V157" s="82"/>
      <c r="W157" s="77"/>
      <c r="X157" s="77"/>
      <c r="Y157" s="77"/>
      <c r="Z157" s="77"/>
      <c r="AA157" s="83"/>
      <c r="AB157" s="77" t="str">
        <f t="shared" ca="1" si="16"/>
        <v/>
      </c>
      <c r="AC157" s="84"/>
      <c r="AD157" s="84"/>
      <c r="AE157" s="85"/>
      <c r="AF157" s="84"/>
      <c r="AG157" s="84"/>
      <c r="AH157" s="85"/>
      <c r="AI157" s="85"/>
      <c r="AJ157" s="86">
        <f>IF(OR(Processos!$H157="Alienação",Processos!$H157="Concessão"),"",(N157-AI157)-(AE157+AH157))</f>
        <v>0</v>
      </c>
      <c r="AK157" s="87" t="str">
        <f t="shared" si="17"/>
        <v/>
      </c>
      <c r="AL157" s="79"/>
      <c r="AM157" s="88"/>
      <c r="AN157" s="89"/>
      <c r="AO157" s="90" t="str">
        <f>IF(Tabela1[[#This Row],[Data de aprovação]]="","",Tabela1[[#This Row],[Data de aprovação]]-Tabela1[[#This Row],[Data de abertura]])</f>
        <v/>
      </c>
      <c r="AP157" s="91"/>
      <c r="AMG157" s="93"/>
      <c r="AMH157" s="93"/>
      <c r="AMI157" s="93"/>
      <c r="AMJ157" s="93"/>
    </row>
    <row r="158" spans="1:1024" s="92" customFormat="1" ht="15" customHeight="1" x14ac:dyDescent="0.15">
      <c r="A158" s="74"/>
      <c r="B158" s="75">
        <v>153</v>
      </c>
      <c r="C158" s="76"/>
      <c r="D158" s="77"/>
      <c r="E158" s="77"/>
      <c r="F158" s="77"/>
      <c r="G158" s="77"/>
      <c r="H158" s="77"/>
      <c r="I158" s="77"/>
      <c r="J158" s="77"/>
      <c r="K158" s="78"/>
      <c r="L158" s="79"/>
      <c r="M158" s="77"/>
      <c r="N158" s="80"/>
      <c r="O158" s="77"/>
      <c r="P158" s="77"/>
      <c r="Q158" s="77"/>
      <c r="R158" s="77"/>
      <c r="S158" s="77"/>
      <c r="T158" s="77"/>
      <c r="U158" s="81"/>
      <c r="V158" s="82"/>
      <c r="W158" s="77"/>
      <c r="X158" s="77"/>
      <c r="Y158" s="77"/>
      <c r="Z158" s="77"/>
      <c r="AA158" s="83"/>
      <c r="AB158" s="77" t="str">
        <f t="shared" ca="1" si="16"/>
        <v/>
      </c>
      <c r="AC158" s="84"/>
      <c r="AD158" s="84"/>
      <c r="AE158" s="85"/>
      <c r="AF158" s="84"/>
      <c r="AG158" s="84"/>
      <c r="AH158" s="85"/>
      <c r="AI158" s="85"/>
      <c r="AJ158" s="86">
        <f>IF(OR(Processos!$H158="Alienação",Processos!$H158="Concessão"),"",(N158-AI158)-(AE158+AH158))</f>
        <v>0</v>
      </c>
      <c r="AK158" s="87" t="str">
        <f t="shared" si="17"/>
        <v/>
      </c>
      <c r="AL158" s="79"/>
      <c r="AM158" s="88"/>
      <c r="AN158" s="89"/>
      <c r="AO158" s="90" t="str">
        <f>IF(Tabela1[[#This Row],[Data de aprovação]]="","",Tabela1[[#This Row],[Data de aprovação]]-Tabela1[[#This Row],[Data de abertura]])</f>
        <v/>
      </c>
      <c r="AP158" s="91"/>
      <c r="AMG158" s="93"/>
      <c r="AMH158" s="93"/>
      <c r="AMI158" s="93"/>
      <c r="AMJ158" s="93"/>
    </row>
    <row r="159" spans="1:1024" s="92" customFormat="1" ht="15" customHeight="1" x14ac:dyDescent="0.15">
      <c r="A159" s="74"/>
      <c r="B159" s="75">
        <v>154</v>
      </c>
      <c r="C159" s="76"/>
      <c r="D159" s="77"/>
      <c r="E159" s="77"/>
      <c r="F159" s="77"/>
      <c r="G159" s="77"/>
      <c r="H159" s="77"/>
      <c r="I159" s="77"/>
      <c r="J159" s="77"/>
      <c r="K159" s="78"/>
      <c r="L159" s="79"/>
      <c r="M159" s="77"/>
      <c r="N159" s="80"/>
      <c r="O159" s="77"/>
      <c r="P159" s="77"/>
      <c r="Q159" s="77"/>
      <c r="R159" s="77"/>
      <c r="S159" s="77"/>
      <c r="T159" s="77"/>
      <c r="U159" s="81"/>
      <c r="V159" s="82"/>
      <c r="W159" s="77"/>
      <c r="X159" s="77"/>
      <c r="Y159" s="77"/>
      <c r="Z159" s="77"/>
      <c r="AA159" s="83"/>
      <c r="AB159" s="77" t="str">
        <f t="shared" ca="1" si="16"/>
        <v/>
      </c>
      <c r="AC159" s="84"/>
      <c r="AD159" s="84"/>
      <c r="AE159" s="85"/>
      <c r="AF159" s="84"/>
      <c r="AG159" s="84"/>
      <c r="AH159" s="85"/>
      <c r="AI159" s="85"/>
      <c r="AJ159" s="86">
        <f>IF(OR(Processos!$H159="Alienação",Processos!$H159="Concessão"),"",(N159-AI159)-(AE159+AH159))</f>
        <v>0</v>
      </c>
      <c r="AK159" s="87" t="str">
        <f t="shared" si="17"/>
        <v/>
      </c>
      <c r="AL159" s="79"/>
      <c r="AM159" s="88"/>
      <c r="AN159" s="89"/>
      <c r="AO159" s="90" t="str">
        <f>IF(Tabela1[[#This Row],[Data de aprovação]]="","",Tabela1[[#This Row],[Data de aprovação]]-Tabela1[[#This Row],[Data de abertura]])</f>
        <v/>
      </c>
      <c r="AP159" s="91"/>
      <c r="AMG159" s="93"/>
      <c r="AMH159" s="93"/>
      <c r="AMI159" s="93"/>
      <c r="AMJ159" s="93"/>
    </row>
    <row r="160" spans="1:1024" s="92" customFormat="1" ht="15" customHeight="1" x14ac:dyDescent="0.15">
      <c r="A160" s="74"/>
      <c r="B160" s="75">
        <v>155</v>
      </c>
      <c r="C160" s="76"/>
      <c r="D160" s="77"/>
      <c r="E160" s="77"/>
      <c r="F160" s="77"/>
      <c r="G160" s="77"/>
      <c r="H160" s="77"/>
      <c r="I160" s="77"/>
      <c r="J160" s="77"/>
      <c r="K160" s="78"/>
      <c r="L160" s="79"/>
      <c r="M160" s="77"/>
      <c r="N160" s="80"/>
      <c r="O160" s="77"/>
      <c r="P160" s="77"/>
      <c r="Q160" s="77"/>
      <c r="R160" s="77"/>
      <c r="S160" s="77"/>
      <c r="T160" s="77"/>
      <c r="U160" s="81"/>
      <c r="V160" s="82"/>
      <c r="W160" s="77"/>
      <c r="X160" s="77"/>
      <c r="Y160" s="77"/>
      <c r="Z160" s="77"/>
      <c r="AA160" s="83"/>
      <c r="AB160" s="77" t="str">
        <f t="shared" ca="1" si="16"/>
        <v/>
      </c>
      <c r="AC160" s="84"/>
      <c r="AD160" s="84"/>
      <c r="AE160" s="85"/>
      <c r="AF160" s="84"/>
      <c r="AG160" s="84"/>
      <c r="AH160" s="85"/>
      <c r="AI160" s="85"/>
      <c r="AJ160" s="86">
        <f>IF(OR(Processos!$H160="Alienação",Processos!$H160="Concessão"),"",(N160-AI160)-(AE160+AH160))</f>
        <v>0</v>
      </c>
      <c r="AK160" s="87" t="str">
        <f t="shared" si="17"/>
        <v/>
      </c>
      <c r="AL160" s="79"/>
      <c r="AM160" s="88"/>
      <c r="AN160" s="89"/>
      <c r="AO160" s="90" t="str">
        <f>IF(Tabela1[[#This Row],[Data de aprovação]]="","",Tabela1[[#This Row],[Data de aprovação]]-Tabela1[[#This Row],[Data de abertura]])</f>
        <v/>
      </c>
      <c r="AP160" s="91"/>
      <c r="AMG160" s="93"/>
      <c r="AMH160" s="93"/>
      <c r="AMI160" s="93"/>
      <c r="AMJ160" s="93"/>
    </row>
    <row r="161" spans="1:1024" s="92" customFormat="1" ht="15" customHeight="1" x14ac:dyDescent="0.15">
      <c r="A161" s="74"/>
      <c r="B161" s="75">
        <v>156</v>
      </c>
      <c r="C161" s="76"/>
      <c r="D161" s="77"/>
      <c r="E161" s="77"/>
      <c r="F161" s="77"/>
      <c r="G161" s="77"/>
      <c r="H161" s="77"/>
      <c r="I161" s="77"/>
      <c r="J161" s="77"/>
      <c r="K161" s="78"/>
      <c r="L161" s="79"/>
      <c r="M161" s="77"/>
      <c r="N161" s="80"/>
      <c r="O161" s="77"/>
      <c r="P161" s="77"/>
      <c r="Q161" s="77"/>
      <c r="R161" s="77"/>
      <c r="S161" s="77"/>
      <c r="T161" s="77"/>
      <c r="U161" s="81"/>
      <c r="V161" s="82"/>
      <c r="W161" s="77"/>
      <c r="X161" s="77"/>
      <c r="Y161" s="77"/>
      <c r="Z161" s="77"/>
      <c r="AA161" s="83"/>
      <c r="AB161" s="77" t="str">
        <f t="shared" ca="1" si="16"/>
        <v/>
      </c>
      <c r="AC161" s="84"/>
      <c r="AD161" s="84"/>
      <c r="AE161" s="85"/>
      <c r="AF161" s="84"/>
      <c r="AG161" s="84"/>
      <c r="AH161" s="85"/>
      <c r="AI161" s="85"/>
      <c r="AJ161" s="86">
        <f>IF(OR(Processos!$H161="Alienação",Processos!$H161="Concessão"),"",(N161-AI161)-(AE161+AH161))</f>
        <v>0</v>
      </c>
      <c r="AK161" s="87" t="str">
        <f t="shared" si="17"/>
        <v/>
      </c>
      <c r="AL161" s="79"/>
      <c r="AM161" s="88"/>
      <c r="AN161" s="89"/>
      <c r="AO161" s="90" t="str">
        <f>IF(Tabela1[[#This Row],[Data de aprovação]]="","",Tabela1[[#This Row],[Data de aprovação]]-Tabela1[[#This Row],[Data de abertura]])</f>
        <v/>
      </c>
      <c r="AP161" s="91"/>
      <c r="AMG161" s="93"/>
      <c r="AMH161" s="93"/>
      <c r="AMI161" s="93"/>
      <c r="AMJ161" s="93"/>
    </row>
    <row r="162" spans="1:1024" s="92" customFormat="1" ht="15" customHeight="1" x14ac:dyDescent="0.15">
      <c r="A162" s="74"/>
      <c r="B162" s="75">
        <v>157</v>
      </c>
      <c r="C162" s="76"/>
      <c r="D162" s="77"/>
      <c r="E162" s="77"/>
      <c r="F162" s="77"/>
      <c r="G162" s="77"/>
      <c r="H162" s="77"/>
      <c r="I162" s="77"/>
      <c r="J162" s="77"/>
      <c r="K162" s="78"/>
      <c r="L162" s="79"/>
      <c r="M162" s="77"/>
      <c r="N162" s="80"/>
      <c r="O162" s="77"/>
      <c r="P162" s="77"/>
      <c r="Q162" s="77"/>
      <c r="R162" s="77"/>
      <c r="S162" s="77"/>
      <c r="T162" s="77"/>
      <c r="U162" s="81"/>
      <c r="V162" s="82"/>
      <c r="W162" s="77"/>
      <c r="X162" s="77"/>
      <c r="Y162" s="77"/>
      <c r="Z162" s="77"/>
      <c r="AA162" s="83"/>
      <c r="AB162" s="77" t="str">
        <f t="shared" ca="1" si="16"/>
        <v/>
      </c>
      <c r="AC162" s="84"/>
      <c r="AD162" s="84"/>
      <c r="AE162" s="85"/>
      <c r="AF162" s="84"/>
      <c r="AG162" s="84"/>
      <c r="AH162" s="85"/>
      <c r="AI162" s="85"/>
      <c r="AJ162" s="86">
        <f>IF(OR(Processos!$H162="Alienação",Processos!$H162="Concessão"),"",(N162-AI162)-(AE162+AH162))</f>
        <v>0</v>
      </c>
      <c r="AK162" s="87" t="str">
        <f t="shared" si="17"/>
        <v/>
      </c>
      <c r="AL162" s="79"/>
      <c r="AM162" s="88"/>
      <c r="AN162" s="89"/>
      <c r="AO162" s="90" t="str">
        <f>IF(Tabela1[[#This Row],[Data de aprovação]]="","",Tabela1[[#This Row],[Data de aprovação]]-Tabela1[[#This Row],[Data de abertura]])</f>
        <v/>
      </c>
      <c r="AP162" s="91"/>
      <c r="AMG162" s="93"/>
      <c r="AMH162" s="93"/>
      <c r="AMI162" s="93"/>
      <c r="AMJ162" s="93"/>
    </row>
    <row r="163" spans="1:1024" s="92" customFormat="1" ht="15" customHeight="1" x14ac:dyDescent="0.15">
      <c r="A163" s="74"/>
      <c r="B163" s="75">
        <v>158</v>
      </c>
      <c r="C163" s="76"/>
      <c r="D163" s="77"/>
      <c r="E163" s="77"/>
      <c r="F163" s="77"/>
      <c r="G163" s="77"/>
      <c r="H163" s="77"/>
      <c r="I163" s="77"/>
      <c r="J163" s="77"/>
      <c r="K163" s="78"/>
      <c r="L163" s="79"/>
      <c r="M163" s="77"/>
      <c r="N163" s="80"/>
      <c r="O163" s="77"/>
      <c r="P163" s="77"/>
      <c r="Q163" s="77"/>
      <c r="R163" s="77"/>
      <c r="S163" s="77"/>
      <c r="T163" s="77"/>
      <c r="U163" s="81"/>
      <c r="V163" s="82"/>
      <c r="W163" s="77"/>
      <c r="X163" s="77"/>
      <c r="Y163" s="77"/>
      <c r="Z163" s="77"/>
      <c r="AA163" s="83"/>
      <c r="AB163" s="77" t="str">
        <f t="shared" ca="1" si="16"/>
        <v/>
      </c>
      <c r="AC163" s="84"/>
      <c r="AD163" s="84"/>
      <c r="AE163" s="85"/>
      <c r="AF163" s="84"/>
      <c r="AG163" s="84"/>
      <c r="AH163" s="85"/>
      <c r="AI163" s="85"/>
      <c r="AJ163" s="86">
        <f>IF(OR(Processos!$H163="Alienação",Processos!$H163="Concessão"),"",(N163-AI163)-(AE163+AH163))</f>
        <v>0</v>
      </c>
      <c r="AK163" s="87" t="str">
        <f t="shared" si="17"/>
        <v/>
      </c>
      <c r="AL163" s="79"/>
      <c r="AM163" s="88"/>
      <c r="AN163" s="89"/>
      <c r="AO163" s="90" t="str">
        <f>IF(Tabela1[[#This Row],[Data de aprovação]]="","",Tabela1[[#This Row],[Data de aprovação]]-Tabela1[[#This Row],[Data de abertura]])</f>
        <v/>
      </c>
      <c r="AP163" s="91"/>
      <c r="AMG163" s="93"/>
      <c r="AMH163" s="93"/>
      <c r="AMI163" s="93"/>
      <c r="AMJ163" s="93"/>
    </row>
    <row r="164" spans="1:1024" s="92" customFormat="1" ht="15" customHeight="1" x14ac:dyDescent="0.15">
      <c r="A164" s="74"/>
      <c r="B164" s="75">
        <v>159</v>
      </c>
      <c r="C164" s="76"/>
      <c r="D164" s="77"/>
      <c r="E164" s="77"/>
      <c r="F164" s="77"/>
      <c r="G164" s="77"/>
      <c r="H164" s="77"/>
      <c r="I164" s="77"/>
      <c r="J164" s="77"/>
      <c r="K164" s="78"/>
      <c r="L164" s="79"/>
      <c r="M164" s="77"/>
      <c r="N164" s="80"/>
      <c r="O164" s="77"/>
      <c r="P164" s="77"/>
      <c r="Q164" s="77"/>
      <c r="R164" s="77"/>
      <c r="S164" s="77"/>
      <c r="T164" s="77"/>
      <c r="U164" s="81"/>
      <c r="V164" s="82"/>
      <c r="W164" s="77"/>
      <c r="X164" s="77"/>
      <c r="Y164" s="77"/>
      <c r="Z164" s="77"/>
      <c r="AA164" s="83"/>
      <c r="AB164" s="77" t="str">
        <f t="shared" ca="1" si="16"/>
        <v/>
      </c>
      <c r="AC164" s="84"/>
      <c r="AD164" s="84"/>
      <c r="AE164" s="85"/>
      <c r="AF164" s="84"/>
      <c r="AG164" s="84"/>
      <c r="AH164" s="85"/>
      <c r="AI164" s="85"/>
      <c r="AJ164" s="86">
        <f>IF(OR(Processos!$H164="Alienação",Processos!$H164="Concessão"),"",(N164-AI164)-(AE164+AH164))</f>
        <v>0</v>
      </c>
      <c r="AK164" s="87" t="str">
        <f t="shared" si="17"/>
        <v/>
      </c>
      <c r="AL164" s="79"/>
      <c r="AM164" s="88"/>
      <c r="AN164" s="89"/>
      <c r="AO164" s="90" t="str">
        <f>IF(Tabela1[[#This Row],[Data de aprovação]]="","",Tabela1[[#This Row],[Data de aprovação]]-Tabela1[[#This Row],[Data de abertura]])</f>
        <v/>
      </c>
      <c r="AP164" s="91"/>
      <c r="AMG164" s="93"/>
      <c r="AMH164" s="93"/>
      <c r="AMI164" s="93"/>
      <c r="AMJ164" s="93"/>
    </row>
    <row r="165" spans="1:1024" s="92" customFormat="1" ht="15" customHeight="1" x14ac:dyDescent="0.15">
      <c r="A165" s="74"/>
      <c r="B165" s="75">
        <v>160</v>
      </c>
      <c r="C165" s="76"/>
      <c r="D165" s="77"/>
      <c r="E165" s="77"/>
      <c r="F165" s="77"/>
      <c r="G165" s="77"/>
      <c r="H165" s="77"/>
      <c r="I165" s="77"/>
      <c r="J165" s="77"/>
      <c r="K165" s="78"/>
      <c r="L165" s="79"/>
      <c r="M165" s="77"/>
      <c r="N165" s="80"/>
      <c r="O165" s="77"/>
      <c r="P165" s="77"/>
      <c r="Q165" s="77"/>
      <c r="R165" s="77"/>
      <c r="S165" s="77"/>
      <c r="T165" s="77"/>
      <c r="U165" s="81"/>
      <c r="V165" s="82"/>
      <c r="W165" s="77"/>
      <c r="X165" s="77"/>
      <c r="Y165" s="77"/>
      <c r="Z165" s="77"/>
      <c r="AA165" s="83"/>
      <c r="AB165" s="77" t="str">
        <f t="shared" ca="1" si="16"/>
        <v/>
      </c>
      <c r="AC165" s="84"/>
      <c r="AD165" s="84"/>
      <c r="AE165" s="85"/>
      <c r="AF165" s="84"/>
      <c r="AG165" s="84"/>
      <c r="AH165" s="85"/>
      <c r="AI165" s="85"/>
      <c r="AJ165" s="86">
        <f>IF(OR(Processos!$H165="Alienação",Processos!$H165="Concessão"),"",(N165-AI165)-(AE165+AH165))</f>
        <v>0</v>
      </c>
      <c r="AK165" s="87" t="str">
        <f t="shared" si="17"/>
        <v/>
      </c>
      <c r="AL165" s="79"/>
      <c r="AM165" s="88"/>
      <c r="AN165" s="89"/>
      <c r="AO165" s="90" t="str">
        <f>IF(Tabela1[[#This Row],[Data de aprovação]]="","",Tabela1[[#This Row],[Data de aprovação]]-Tabela1[[#This Row],[Data de abertura]])</f>
        <v/>
      </c>
      <c r="AP165" s="91"/>
      <c r="AMG165" s="93"/>
      <c r="AMH165" s="93"/>
      <c r="AMI165" s="93"/>
      <c r="AMJ165" s="93"/>
    </row>
    <row r="166" spans="1:1024" s="92" customFormat="1" ht="15" customHeight="1" x14ac:dyDescent="0.15">
      <c r="A166" s="74"/>
      <c r="B166" s="75">
        <v>161</v>
      </c>
      <c r="C166" s="76"/>
      <c r="D166" s="77"/>
      <c r="E166" s="77"/>
      <c r="F166" s="77"/>
      <c r="G166" s="77"/>
      <c r="H166" s="77"/>
      <c r="I166" s="77"/>
      <c r="J166" s="77"/>
      <c r="K166" s="78"/>
      <c r="L166" s="79"/>
      <c r="M166" s="77"/>
      <c r="N166" s="80"/>
      <c r="O166" s="77"/>
      <c r="P166" s="77"/>
      <c r="Q166" s="77"/>
      <c r="R166" s="77"/>
      <c r="S166" s="77"/>
      <c r="T166" s="77"/>
      <c r="U166" s="81"/>
      <c r="V166" s="82"/>
      <c r="W166" s="77"/>
      <c r="X166" s="77"/>
      <c r="Y166" s="77"/>
      <c r="Z166" s="77"/>
      <c r="AA166" s="83"/>
      <c r="AB166" s="77" t="str">
        <f t="shared" ca="1" si="16"/>
        <v/>
      </c>
      <c r="AC166" s="84"/>
      <c r="AD166" s="84"/>
      <c r="AE166" s="85"/>
      <c r="AF166" s="84"/>
      <c r="AG166" s="84"/>
      <c r="AH166" s="85"/>
      <c r="AI166" s="85"/>
      <c r="AJ166" s="86">
        <f>IF(OR(Processos!$H166="Alienação",Processos!$H166="Concessão"),"",(N166-AI166)-(AE166+AH166))</f>
        <v>0</v>
      </c>
      <c r="AK166" s="87" t="str">
        <f t="shared" si="17"/>
        <v/>
      </c>
      <c r="AL166" s="79"/>
      <c r="AM166" s="88"/>
      <c r="AN166" s="89"/>
      <c r="AO166" s="90" t="str">
        <f>IF(Tabela1[[#This Row],[Data de aprovação]]="","",Tabela1[[#This Row],[Data de aprovação]]-Tabela1[[#This Row],[Data de abertura]])</f>
        <v/>
      </c>
      <c r="AP166" s="91"/>
      <c r="AMG166" s="93"/>
      <c r="AMH166" s="93"/>
      <c r="AMI166" s="93"/>
      <c r="AMJ166" s="93"/>
    </row>
    <row r="167" spans="1:1024" s="92" customFormat="1" ht="15" customHeight="1" x14ac:dyDescent="0.15">
      <c r="A167" s="74"/>
      <c r="B167" s="75">
        <v>162</v>
      </c>
      <c r="C167" s="76"/>
      <c r="D167" s="77"/>
      <c r="E167" s="77"/>
      <c r="F167" s="77"/>
      <c r="G167" s="77"/>
      <c r="H167" s="77"/>
      <c r="I167" s="77"/>
      <c r="J167" s="77"/>
      <c r="K167" s="78"/>
      <c r="L167" s="79"/>
      <c r="M167" s="77"/>
      <c r="N167" s="80"/>
      <c r="O167" s="77"/>
      <c r="P167" s="77"/>
      <c r="Q167" s="77"/>
      <c r="R167" s="77"/>
      <c r="S167" s="77"/>
      <c r="T167" s="77"/>
      <c r="U167" s="81"/>
      <c r="V167" s="82"/>
      <c r="W167" s="77"/>
      <c r="X167" s="77"/>
      <c r="Y167" s="77"/>
      <c r="Z167" s="77"/>
      <c r="AA167" s="83"/>
      <c r="AB167" s="77" t="str">
        <f t="shared" ca="1" si="16"/>
        <v/>
      </c>
      <c r="AC167" s="84"/>
      <c r="AD167" s="84"/>
      <c r="AE167" s="85"/>
      <c r="AF167" s="84"/>
      <c r="AG167" s="84"/>
      <c r="AH167" s="85"/>
      <c r="AI167" s="85"/>
      <c r="AJ167" s="86">
        <f>IF(OR(Processos!$H167="Alienação",Processos!$H167="Concessão"),"",(N167-AI167)-(AE167+AH167))</f>
        <v>0</v>
      </c>
      <c r="AK167" s="87" t="str">
        <f t="shared" si="17"/>
        <v/>
      </c>
      <c r="AL167" s="79"/>
      <c r="AM167" s="88"/>
      <c r="AN167" s="89"/>
      <c r="AO167" s="90" t="str">
        <f>IF(Tabela1[[#This Row],[Data de aprovação]]="","",Tabela1[[#This Row],[Data de aprovação]]-Tabela1[[#This Row],[Data de abertura]])</f>
        <v/>
      </c>
      <c r="AP167" s="91"/>
      <c r="AMG167" s="93"/>
      <c r="AMH167" s="93"/>
      <c r="AMI167" s="93"/>
      <c r="AMJ167" s="93"/>
    </row>
    <row r="168" spans="1:1024" s="92" customFormat="1" ht="15" customHeight="1" x14ac:dyDescent="0.15">
      <c r="A168" s="74"/>
      <c r="B168" s="75">
        <v>163</v>
      </c>
      <c r="C168" s="76"/>
      <c r="D168" s="77"/>
      <c r="E168" s="77"/>
      <c r="F168" s="77"/>
      <c r="G168" s="77"/>
      <c r="H168" s="77"/>
      <c r="I168" s="77"/>
      <c r="J168" s="77"/>
      <c r="K168" s="78"/>
      <c r="L168" s="79"/>
      <c r="M168" s="77"/>
      <c r="N168" s="80"/>
      <c r="O168" s="77"/>
      <c r="P168" s="77"/>
      <c r="Q168" s="77"/>
      <c r="R168" s="77"/>
      <c r="S168" s="77"/>
      <c r="T168" s="77"/>
      <c r="U168" s="81"/>
      <c r="V168" s="82"/>
      <c r="W168" s="77"/>
      <c r="X168" s="77"/>
      <c r="Y168" s="77"/>
      <c r="Z168" s="77"/>
      <c r="AA168" s="83"/>
      <c r="AB168" s="77" t="str">
        <f t="shared" ref="AB168:AB199" ca="1" si="18">IF(U168="","",IF(AA168="",TODAY()-U168,IF(AA168-U168,AA168-U168,0)))</f>
        <v/>
      </c>
      <c r="AC168" s="84"/>
      <c r="AD168" s="84"/>
      <c r="AE168" s="85"/>
      <c r="AF168" s="84"/>
      <c r="AG168" s="84"/>
      <c r="AH168" s="85"/>
      <c r="AI168" s="85"/>
      <c r="AJ168" s="86">
        <f>IF(OR(Processos!$H168="Alienação",Processos!$H168="Concessão"),"",(N168-AI168)-(AE168+AH168))</f>
        <v>0</v>
      </c>
      <c r="AK168" s="87" t="str">
        <f t="shared" ref="AK168:AK199" si="19">IF(ISERROR((AJ168*100)/N168/100),"",(AJ168*100)/N168/100)</f>
        <v/>
      </c>
      <c r="AL168" s="79"/>
      <c r="AM168" s="88"/>
      <c r="AN168" s="89"/>
      <c r="AO168" s="90" t="str">
        <f>IF(Tabela1[[#This Row],[Data de aprovação]]="","",Tabela1[[#This Row],[Data de aprovação]]-Tabela1[[#This Row],[Data de abertura]])</f>
        <v/>
      </c>
      <c r="AP168" s="91"/>
      <c r="AMG168" s="93"/>
      <c r="AMH168" s="93"/>
      <c r="AMI168" s="93"/>
      <c r="AMJ168" s="93"/>
    </row>
    <row r="169" spans="1:1024" s="92" customFormat="1" ht="15" customHeight="1" x14ac:dyDescent="0.15">
      <c r="A169" s="74"/>
      <c r="B169" s="75">
        <v>164</v>
      </c>
      <c r="C169" s="76"/>
      <c r="D169" s="77"/>
      <c r="E169" s="77"/>
      <c r="F169" s="77"/>
      <c r="G169" s="77"/>
      <c r="H169" s="77"/>
      <c r="I169" s="77"/>
      <c r="J169" s="77"/>
      <c r="K169" s="78"/>
      <c r="L169" s="79"/>
      <c r="M169" s="77"/>
      <c r="N169" s="80"/>
      <c r="O169" s="77"/>
      <c r="P169" s="77"/>
      <c r="Q169" s="77"/>
      <c r="R169" s="77"/>
      <c r="S169" s="77"/>
      <c r="T169" s="77"/>
      <c r="U169" s="81"/>
      <c r="V169" s="82"/>
      <c r="W169" s="77"/>
      <c r="X169" s="77"/>
      <c r="Y169" s="77"/>
      <c r="Z169" s="77"/>
      <c r="AA169" s="83"/>
      <c r="AB169" s="77" t="str">
        <f t="shared" ca="1" si="18"/>
        <v/>
      </c>
      <c r="AC169" s="84"/>
      <c r="AD169" s="84"/>
      <c r="AE169" s="85"/>
      <c r="AF169" s="84"/>
      <c r="AG169" s="84"/>
      <c r="AH169" s="85"/>
      <c r="AI169" s="85"/>
      <c r="AJ169" s="86">
        <f>IF(OR(Processos!$H169="Alienação",Processos!$H169="Concessão"),"",(N169-AI169)-(AE169+AH169))</f>
        <v>0</v>
      </c>
      <c r="AK169" s="87" t="str">
        <f t="shared" si="19"/>
        <v/>
      </c>
      <c r="AL169" s="79"/>
      <c r="AM169" s="88"/>
      <c r="AN169" s="89"/>
      <c r="AO169" s="90" t="str">
        <f>IF(Tabela1[[#This Row],[Data de aprovação]]="","",Tabela1[[#This Row],[Data de aprovação]]-Tabela1[[#This Row],[Data de abertura]])</f>
        <v/>
      </c>
      <c r="AP169" s="91"/>
      <c r="AMG169" s="93"/>
      <c r="AMH169" s="93"/>
      <c r="AMI169" s="93"/>
      <c r="AMJ169" s="93"/>
    </row>
    <row r="170" spans="1:1024" s="92" customFormat="1" ht="15" customHeight="1" x14ac:dyDescent="0.15">
      <c r="A170" s="74"/>
      <c r="B170" s="75">
        <v>165</v>
      </c>
      <c r="C170" s="76"/>
      <c r="D170" s="77"/>
      <c r="E170" s="77"/>
      <c r="F170" s="77"/>
      <c r="G170" s="77"/>
      <c r="H170" s="77"/>
      <c r="I170" s="77"/>
      <c r="J170" s="77"/>
      <c r="K170" s="78"/>
      <c r="L170" s="79"/>
      <c r="M170" s="77"/>
      <c r="N170" s="80"/>
      <c r="O170" s="77"/>
      <c r="P170" s="77"/>
      <c r="Q170" s="77"/>
      <c r="R170" s="77"/>
      <c r="S170" s="77"/>
      <c r="T170" s="77"/>
      <c r="U170" s="81"/>
      <c r="V170" s="82"/>
      <c r="W170" s="77"/>
      <c r="X170" s="77"/>
      <c r="Y170" s="77"/>
      <c r="Z170" s="77"/>
      <c r="AA170" s="83"/>
      <c r="AB170" s="77" t="str">
        <f t="shared" ca="1" si="18"/>
        <v/>
      </c>
      <c r="AC170" s="84"/>
      <c r="AD170" s="84"/>
      <c r="AE170" s="85"/>
      <c r="AF170" s="84"/>
      <c r="AG170" s="84"/>
      <c r="AH170" s="85"/>
      <c r="AI170" s="85"/>
      <c r="AJ170" s="86">
        <f>IF(OR(Processos!$H170="Alienação",Processos!$H170="Concessão"),"",(N170-AI170)-(AE170+AH170))</f>
        <v>0</v>
      </c>
      <c r="AK170" s="87" t="str">
        <f t="shared" si="19"/>
        <v/>
      </c>
      <c r="AL170" s="79"/>
      <c r="AM170" s="88"/>
      <c r="AN170" s="89"/>
      <c r="AO170" s="90" t="str">
        <f>IF(Tabela1[[#This Row],[Data de aprovação]]="","",Tabela1[[#This Row],[Data de aprovação]]-Tabela1[[#This Row],[Data de abertura]])</f>
        <v/>
      </c>
      <c r="AP170" s="91"/>
      <c r="AMG170" s="93"/>
      <c r="AMH170" s="93"/>
      <c r="AMI170" s="93"/>
      <c r="AMJ170" s="93"/>
    </row>
    <row r="171" spans="1:1024" s="92" customFormat="1" ht="15" customHeight="1" x14ac:dyDescent="0.15">
      <c r="A171" s="74"/>
      <c r="B171" s="75">
        <v>166</v>
      </c>
      <c r="C171" s="76"/>
      <c r="D171" s="77"/>
      <c r="E171" s="77"/>
      <c r="F171" s="77"/>
      <c r="G171" s="77"/>
      <c r="H171" s="77"/>
      <c r="I171" s="77"/>
      <c r="J171" s="77"/>
      <c r="K171" s="78"/>
      <c r="L171" s="79"/>
      <c r="M171" s="77"/>
      <c r="N171" s="80"/>
      <c r="O171" s="77"/>
      <c r="P171" s="77"/>
      <c r="Q171" s="77"/>
      <c r="R171" s="77"/>
      <c r="S171" s="77"/>
      <c r="T171" s="77"/>
      <c r="U171" s="81"/>
      <c r="V171" s="82"/>
      <c r="W171" s="77"/>
      <c r="X171" s="77"/>
      <c r="Y171" s="77"/>
      <c r="Z171" s="77"/>
      <c r="AA171" s="83"/>
      <c r="AB171" s="77" t="str">
        <f t="shared" ca="1" si="18"/>
        <v/>
      </c>
      <c r="AC171" s="84"/>
      <c r="AD171" s="84"/>
      <c r="AE171" s="85"/>
      <c r="AF171" s="84"/>
      <c r="AG171" s="84"/>
      <c r="AH171" s="85"/>
      <c r="AI171" s="85"/>
      <c r="AJ171" s="86">
        <f>IF(OR(Processos!$H171="Alienação",Processos!$H171="Concessão"),"",(N171-AI171)-(AE171+AH171))</f>
        <v>0</v>
      </c>
      <c r="AK171" s="87" t="str">
        <f t="shared" si="19"/>
        <v/>
      </c>
      <c r="AL171" s="79"/>
      <c r="AM171" s="88"/>
      <c r="AN171" s="89"/>
      <c r="AO171" s="90" t="str">
        <f>IF(Tabela1[[#This Row],[Data de aprovação]]="","",Tabela1[[#This Row],[Data de aprovação]]-Tabela1[[#This Row],[Data de abertura]])</f>
        <v/>
      </c>
      <c r="AP171" s="91"/>
      <c r="AMG171" s="93"/>
      <c r="AMH171" s="93"/>
      <c r="AMI171" s="93"/>
      <c r="AMJ171" s="93"/>
    </row>
    <row r="172" spans="1:1024" s="92" customFormat="1" ht="15" customHeight="1" x14ac:dyDescent="0.15">
      <c r="A172" s="74"/>
      <c r="B172" s="75">
        <v>167</v>
      </c>
      <c r="C172" s="76"/>
      <c r="D172" s="77"/>
      <c r="E172" s="77"/>
      <c r="F172" s="77"/>
      <c r="G172" s="77"/>
      <c r="H172" s="77"/>
      <c r="I172" s="77"/>
      <c r="J172" s="77"/>
      <c r="K172" s="78"/>
      <c r="L172" s="79"/>
      <c r="M172" s="77"/>
      <c r="N172" s="80"/>
      <c r="O172" s="77"/>
      <c r="P172" s="77"/>
      <c r="Q172" s="77"/>
      <c r="R172" s="77"/>
      <c r="S172" s="77"/>
      <c r="T172" s="77"/>
      <c r="U172" s="81"/>
      <c r="V172" s="82"/>
      <c r="W172" s="77"/>
      <c r="X172" s="77"/>
      <c r="Y172" s="77"/>
      <c r="Z172" s="77"/>
      <c r="AA172" s="83"/>
      <c r="AB172" s="77" t="str">
        <f t="shared" ca="1" si="18"/>
        <v/>
      </c>
      <c r="AC172" s="84"/>
      <c r="AD172" s="84"/>
      <c r="AE172" s="85"/>
      <c r="AF172" s="84"/>
      <c r="AG172" s="84"/>
      <c r="AH172" s="85"/>
      <c r="AI172" s="85"/>
      <c r="AJ172" s="86">
        <f>IF(OR(Processos!$H172="Alienação",Processos!$H172="Concessão"),"",(N172-AI172)-(AE172+AH172))</f>
        <v>0</v>
      </c>
      <c r="AK172" s="87" t="str">
        <f t="shared" si="19"/>
        <v/>
      </c>
      <c r="AL172" s="79"/>
      <c r="AM172" s="88"/>
      <c r="AN172" s="89"/>
      <c r="AO172" s="90" t="str">
        <f>IF(Tabela1[[#This Row],[Data de aprovação]]="","",Tabela1[[#This Row],[Data de aprovação]]-Tabela1[[#This Row],[Data de abertura]])</f>
        <v/>
      </c>
      <c r="AP172" s="91"/>
      <c r="AMG172" s="93"/>
      <c r="AMH172" s="93"/>
      <c r="AMI172" s="93"/>
      <c r="AMJ172" s="93"/>
    </row>
    <row r="173" spans="1:1024" s="92" customFormat="1" ht="15" customHeight="1" x14ac:dyDescent="0.15">
      <c r="A173" s="74"/>
      <c r="B173" s="75">
        <v>168</v>
      </c>
      <c r="C173" s="76"/>
      <c r="D173" s="77"/>
      <c r="E173" s="77"/>
      <c r="F173" s="77"/>
      <c r="G173" s="77"/>
      <c r="H173" s="77"/>
      <c r="I173" s="77"/>
      <c r="J173" s="77"/>
      <c r="K173" s="78"/>
      <c r="L173" s="79"/>
      <c r="M173" s="77"/>
      <c r="N173" s="80"/>
      <c r="O173" s="77"/>
      <c r="P173" s="77"/>
      <c r="Q173" s="77"/>
      <c r="R173" s="77"/>
      <c r="S173" s="77"/>
      <c r="T173" s="77"/>
      <c r="U173" s="81"/>
      <c r="V173" s="82"/>
      <c r="W173" s="77"/>
      <c r="X173" s="77"/>
      <c r="Y173" s="77"/>
      <c r="Z173" s="77"/>
      <c r="AA173" s="83"/>
      <c r="AB173" s="77" t="str">
        <f t="shared" ca="1" si="18"/>
        <v/>
      </c>
      <c r="AC173" s="84"/>
      <c r="AD173" s="84"/>
      <c r="AE173" s="85"/>
      <c r="AF173" s="84"/>
      <c r="AG173" s="84"/>
      <c r="AH173" s="85"/>
      <c r="AI173" s="85"/>
      <c r="AJ173" s="86">
        <f>IF(OR(Processos!$H173="Alienação",Processos!$H173="Concessão"),"",(N173-AI173)-(AE173+AH173))</f>
        <v>0</v>
      </c>
      <c r="AK173" s="87" t="str">
        <f t="shared" si="19"/>
        <v/>
      </c>
      <c r="AL173" s="79"/>
      <c r="AM173" s="88"/>
      <c r="AN173" s="89"/>
      <c r="AO173" s="90" t="str">
        <f>IF(Tabela1[[#This Row],[Data de aprovação]]="","",Tabela1[[#This Row],[Data de aprovação]]-Tabela1[[#This Row],[Data de abertura]])</f>
        <v/>
      </c>
      <c r="AP173" s="91"/>
      <c r="AMG173" s="93"/>
      <c r="AMH173" s="93"/>
      <c r="AMI173" s="93"/>
      <c r="AMJ173" s="93"/>
    </row>
    <row r="174" spans="1:1024" s="92" customFormat="1" ht="15" customHeight="1" x14ac:dyDescent="0.15">
      <c r="A174" s="74"/>
      <c r="B174" s="75">
        <v>169</v>
      </c>
      <c r="C174" s="76"/>
      <c r="D174" s="77"/>
      <c r="E174" s="77"/>
      <c r="F174" s="77"/>
      <c r="G174" s="77"/>
      <c r="H174" s="77"/>
      <c r="I174" s="77"/>
      <c r="J174" s="77"/>
      <c r="K174" s="78"/>
      <c r="L174" s="79"/>
      <c r="M174" s="77"/>
      <c r="N174" s="80"/>
      <c r="O174" s="77"/>
      <c r="P174" s="77"/>
      <c r="Q174" s="77"/>
      <c r="R174" s="77"/>
      <c r="S174" s="77"/>
      <c r="T174" s="77"/>
      <c r="U174" s="81"/>
      <c r="V174" s="82"/>
      <c r="W174" s="77"/>
      <c r="X174" s="77"/>
      <c r="Y174" s="77"/>
      <c r="Z174" s="77"/>
      <c r="AA174" s="83"/>
      <c r="AB174" s="77" t="str">
        <f t="shared" ca="1" si="18"/>
        <v/>
      </c>
      <c r="AC174" s="84"/>
      <c r="AD174" s="84"/>
      <c r="AE174" s="85"/>
      <c r="AF174" s="84"/>
      <c r="AG174" s="84"/>
      <c r="AH174" s="85"/>
      <c r="AI174" s="85"/>
      <c r="AJ174" s="86">
        <f>IF(OR(Processos!$H174="Alienação",Processos!$H174="Concessão"),"",(N174-AI174)-(AE174+AH174))</f>
        <v>0</v>
      </c>
      <c r="AK174" s="87" t="str">
        <f t="shared" si="19"/>
        <v/>
      </c>
      <c r="AL174" s="79"/>
      <c r="AM174" s="88"/>
      <c r="AN174" s="89"/>
      <c r="AO174" s="90" t="str">
        <f>IF(Tabela1[[#This Row],[Data de aprovação]]="","",Tabela1[[#This Row],[Data de aprovação]]-Tabela1[[#This Row],[Data de abertura]])</f>
        <v/>
      </c>
      <c r="AP174" s="91"/>
      <c r="AMG174" s="93"/>
      <c r="AMH174" s="93"/>
      <c r="AMI174" s="93"/>
      <c r="AMJ174" s="93"/>
    </row>
    <row r="175" spans="1:1024" s="92" customFormat="1" ht="15" customHeight="1" x14ac:dyDescent="0.15">
      <c r="A175" s="74"/>
      <c r="B175" s="75">
        <v>170</v>
      </c>
      <c r="C175" s="76"/>
      <c r="D175" s="77"/>
      <c r="E175" s="77"/>
      <c r="F175" s="77"/>
      <c r="G175" s="77"/>
      <c r="H175" s="77"/>
      <c r="I175" s="77"/>
      <c r="J175" s="77"/>
      <c r="K175" s="78"/>
      <c r="L175" s="79"/>
      <c r="M175" s="77"/>
      <c r="N175" s="80"/>
      <c r="O175" s="77"/>
      <c r="P175" s="77"/>
      <c r="Q175" s="77"/>
      <c r="R175" s="77"/>
      <c r="S175" s="77"/>
      <c r="T175" s="77"/>
      <c r="U175" s="81"/>
      <c r="V175" s="82"/>
      <c r="W175" s="77"/>
      <c r="X175" s="77"/>
      <c r="Y175" s="77"/>
      <c r="Z175" s="77"/>
      <c r="AA175" s="83"/>
      <c r="AB175" s="77" t="str">
        <f t="shared" ca="1" si="18"/>
        <v/>
      </c>
      <c r="AC175" s="84"/>
      <c r="AD175" s="84"/>
      <c r="AE175" s="85"/>
      <c r="AF175" s="84"/>
      <c r="AG175" s="84"/>
      <c r="AH175" s="85"/>
      <c r="AI175" s="85"/>
      <c r="AJ175" s="86">
        <f>IF(OR(Processos!$H175="Alienação",Processos!$H175="Concessão"),"",(N175-AI175)-(AE175+AH175))</f>
        <v>0</v>
      </c>
      <c r="AK175" s="87" t="str">
        <f t="shared" si="19"/>
        <v/>
      </c>
      <c r="AL175" s="79"/>
      <c r="AM175" s="88"/>
      <c r="AN175" s="89"/>
      <c r="AO175" s="90" t="str">
        <f>IF(Tabela1[[#This Row],[Data de aprovação]]="","",Tabela1[[#This Row],[Data de aprovação]]-Tabela1[[#This Row],[Data de abertura]])</f>
        <v/>
      </c>
      <c r="AP175" s="91"/>
      <c r="AMG175" s="93"/>
      <c r="AMH175" s="93"/>
      <c r="AMI175" s="93"/>
      <c r="AMJ175" s="93"/>
    </row>
    <row r="176" spans="1:1024" s="92" customFormat="1" ht="15" customHeight="1" x14ac:dyDescent="0.15">
      <c r="A176" s="74"/>
      <c r="B176" s="75">
        <v>171</v>
      </c>
      <c r="C176" s="76"/>
      <c r="D176" s="77"/>
      <c r="E176" s="77"/>
      <c r="F176" s="77"/>
      <c r="G176" s="77"/>
      <c r="H176" s="77"/>
      <c r="I176" s="77"/>
      <c r="J176" s="77"/>
      <c r="K176" s="78"/>
      <c r="L176" s="79"/>
      <c r="M176" s="77"/>
      <c r="N176" s="80"/>
      <c r="O176" s="77"/>
      <c r="P176" s="77"/>
      <c r="Q176" s="77"/>
      <c r="R176" s="77"/>
      <c r="S176" s="77"/>
      <c r="T176" s="77"/>
      <c r="U176" s="81"/>
      <c r="V176" s="82"/>
      <c r="W176" s="77"/>
      <c r="X176" s="77"/>
      <c r="Y176" s="77"/>
      <c r="Z176" s="77"/>
      <c r="AA176" s="83"/>
      <c r="AB176" s="77" t="str">
        <f t="shared" ca="1" si="18"/>
        <v/>
      </c>
      <c r="AC176" s="84"/>
      <c r="AD176" s="84"/>
      <c r="AE176" s="85"/>
      <c r="AF176" s="84"/>
      <c r="AG176" s="84"/>
      <c r="AH176" s="85"/>
      <c r="AI176" s="85"/>
      <c r="AJ176" s="86">
        <f>IF(OR(Processos!$H176="Alienação",Processos!$H176="Concessão"),"",(N176-AI176)-(AE176+AH176))</f>
        <v>0</v>
      </c>
      <c r="AK176" s="87" t="str">
        <f t="shared" si="19"/>
        <v/>
      </c>
      <c r="AL176" s="79"/>
      <c r="AM176" s="88"/>
      <c r="AN176" s="89"/>
      <c r="AO176" s="90" t="str">
        <f>IF(Tabela1[[#This Row],[Data de aprovação]]="","",Tabela1[[#This Row],[Data de aprovação]]-Tabela1[[#This Row],[Data de abertura]])</f>
        <v/>
      </c>
      <c r="AP176" s="91"/>
      <c r="AMG176" s="93"/>
      <c r="AMH176" s="93"/>
      <c r="AMI176" s="93"/>
      <c r="AMJ176" s="93"/>
    </row>
    <row r="177" spans="1:1024" s="92" customFormat="1" ht="15" customHeight="1" x14ac:dyDescent="0.15">
      <c r="A177" s="74"/>
      <c r="B177" s="75">
        <v>172</v>
      </c>
      <c r="C177" s="76"/>
      <c r="D177" s="77"/>
      <c r="E177" s="77"/>
      <c r="F177" s="77"/>
      <c r="G177" s="77"/>
      <c r="H177" s="77"/>
      <c r="I177" s="77"/>
      <c r="J177" s="77"/>
      <c r="K177" s="78"/>
      <c r="L177" s="79"/>
      <c r="M177" s="77"/>
      <c r="N177" s="80"/>
      <c r="O177" s="77"/>
      <c r="P177" s="77"/>
      <c r="Q177" s="77"/>
      <c r="R177" s="77"/>
      <c r="S177" s="77"/>
      <c r="T177" s="77"/>
      <c r="U177" s="81"/>
      <c r="V177" s="82"/>
      <c r="W177" s="77"/>
      <c r="X177" s="77"/>
      <c r="Y177" s="77"/>
      <c r="Z177" s="77"/>
      <c r="AA177" s="83"/>
      <c r="AB177" s="77" t="str">
        <f t="shared" ca="1" si="18"/>
        <v/>
      </c>
      <c r="AC177" s="84"/>
      <c r="AD177" s="84"/>
      <c r="AE177" s="85"/>
      <c r="AF177" s="84"/>
      <c r="AG177" s="84"/>
      <c r="AH177" s="85"/>
      <c r="AI177" s="85"/>
      <c r="AJ177" s="86">
        <f>IF(OR(Processos!$H177="Alienação",Processos!$H177="Concessão"),"",(N177-AI177)-(AE177+AH177))</f>
        <v>0</v>
      </c>
      <c r="AK177" s="87" t="str">
        <f t="shared" si="19"/>
        <v/>
      </c>
      <c r="AL177" s="79"/>
      <c r="AM177" s="88"/>
      <c r="AN177" s="89"/>
      <c r="AO177" s="90" t="str">
        <f>IF(Tabela1[[#This Row],[Data de aprovação]]="","",Tabela1[[#This Row],[Data de aprovação]]-Tabela1[[#This Row],[Data de abertura]])</f>
        <v/>
      </c>
      <c r="AP177" s="91"/>
      <c r="AMG177" s="93"/>
      <c r="AMH177" s="93"/>
      <c r="AMI177" s="93"/>
      <c r="AMJ177" s="93"/>
    </row>
    <row r="178" spans="1:1024" s="92" customFormat="1" ht="15" customHeight="1" x14ac:dyDescent="0.15">
      <c r="A178" s="74"/>
      <c r="B178" s="75">
        <v>173</v>
      </c>
      <c r="C178" s="76"/>
      <c r="D178" s="77"/>
      <c r="E178" s="77"/>
      <c r="F178" s="77"/>
      <c r="G178" s="77"/>
      <c r="H178" s="77"/>
      <c r="I178" s="77"/>
      <c r="J178" s="77"/>
      <c r="K178" s="78"/>
      <c r="L178" s="79"/>
      <c r="M178" s="77"/>
      <c r="N178" s="80"/>
      <c r="O178" s="77"/>
      <c r="P178" s="77"/>
      <c r="Q178" s="77"/>
      <c r="R178" s="77"/>
      <c r="S178" s="77"/>
      <c r="T178" s="77"/>
      <c r="U178" s="81"/>
      <c r="V178" s="82"/>
      <c r="W178" s="77"/>
      <c r="X178" s="77"/>
      <c r="Y178" s="77"/>
      <c r="Z178" s="77"/>
      <c r="AA178" s="83"/>
      <c r="AB178" s="77" t="str">
        <f t="shared" ca="1" si="18"/>
        <v/>
      </c>
      <c r="AC178" s="84"/>
      <c r="AD178" s="84"/>
      <c r="AE178" s="85"/>
      <c r="AF178" s="84"/>
      <c r="AG178" s="84"/>
      <c r="AH178" s="85"/>
      <c r="AI178" s="85"/>
      <c r="AJ178" s="86">
        <f>IF(OR(Processos!$H178="Alienação",Processos!$H178="Concessão"),"",(N178-AI178)-(AE178+AH178))</f>
        <v>0</v>
      </c>
      <c r="AK178" s="87" t="str">
        <f t="shared" si="19"/>
        <v/>
      </c>
      <c r="AL178" s="79"/>
      <c r="AM178" s="88"/>
      <c r="AN178" s="89"/>
      <c r="AO178" s="90" t="str">
        <f>IF(Tabela1[[#This Row],[Data de aprovação]]="","",Tabela1[[#This Row],[Data de aprovação]]-Tabela1[[#This Row],[Data de abertura]])</f>
        <v/>
      </c>
      <c r="AP178" s="91"/>
      <c r="AMG178" s="93"/>
      <c r="AMH178" s="93"/>
      <c r="AMI178" s="93"/>
      <c r="AMJ178" s="93"/>
    </row>
    <row r="179" spans="1:1024" s="92" customFormat="1" ht="15" customHeight="1" x14ac:dyDescent="0.15">
      <c r="A179" s="74"/>
      <c r="B179" s="75">
        <v>174</v>
      </c>
      <c r="C179" s="76"/>
      <c r="D179" s="77"/>
      <c r="E179" s="77"/>
      <c r="F179" s="77"/>
      <c r="G179" s="77"/>
      <c r="H179" s="77"/>
      <c r="I179" s="77"/>
      <c r="J179" s="77"/>
      <c r="K179" s="78"/>
      <c r="L179" s="79"/>
      <c r="M179" s="77"/>
      <c r="N179" s="80"/>
      <c r="O179" s="77"/>
      <c r="P179" s="77"/>
      <c r="Q179" s="77"/>
      <c r="R179" s="77"/>
      <c r="S179" s="77"/>
      <c r="T179" s="77"/>
      <c r="U179" s="81"/>
      <c r="V179" s="82"/>
      <c r="W179" s="77"/>
      <c r="X179" s="77"/>
      <c r="Y179" s="77"/>
      <c r="Z179" s="77"/>
      <c r="AA179" s="83"/>
      <c r="AB179" s="77" t="str">
        <f t="shared" ca="1" si="18"/>
        <v/>
      </c>
      <c r="AC179" s="84"/>
      <c r="AD179" s="84"/>
      <c r="AE179" s="85"/>
      <c r="AF179" s="84"/>
      <c r="AG179" s="84"/>
      <c r="AH179" s="85"/>
      <c r="AI179" s="85"/>
      <c r="AJ179" s="86">
        <f>IF(OR(Processos!$H179="Alienação",Processos!$H179="Concessão"),"",(N179-AI179)-(AE179+AH179))</f>
        <v>0</v>
      </c>
      <c r="AK179" s="87" t="str">
        <f t="shared" si="19"/>
        <v/>
      </c>
      <c r="AL179" s="79"/>
      <c r="AM179" s="88"/>
      <c r="AN179" s="89"/>
      <c r="AO179" s="90" t="str">
        <f>IF(Tabela1[[#This Row],[Data de aprovação]]="","",Tabela1[[#This Row],[Data de aprovação]]-Tabela1[[#This Row],[Data de abertura]])</f>
        <v/>
      </c>
      <c r="AP179" s="91"/>
      <c r="AMG179" s="93"/>
      <c r="AMH179" s="93"/>
      <c r="AMI179" s="93"/>
      <c r="AMJ179" s="93"/>
    </row>
    <row r="180" spans="1:1024" s="92" customFormat="1" ht="15" customHeight="1" x14ac:dyDescent="0.15">
      <c r="A180" s="74"/>
      <c r="B180" s="75">
        <v>175</v>
      </c>
      <c r="C180" s="76"/>
      <c r="D180" s="77"/>
      <c r="E180" s="77"/>
      <c r="F180" s="77"/>
      <c r="G180" s="77"/>
      <c r="H180" s="77"/>
      <c r="I180" s="77"/>
      <c r="J180" s="77"/>
      <c r="K180" s="78"/>
      <c r="L180" s="79"/>
      <c r="M180" s="77"/>
      <c r="N180" s="80"/>
      <c r="O180" s="77"/>
      <c r="P180" s="77"/>
      <c r="Q180" s="77"/>
      <c r="R180" s="77"/>
      <c r="S180" s="77"/>
      <c r="T180" s="77"/>
      <c r="U180" s="81"/>
      <c r="V180" s="82"/>
      <c r="W180" s="77"/>
      <c r="X180" s="77"/>
      <c r="Y180" s="77"/>
      <c r="Z180" s="77"/>
      <c r="AA180" s="83"/>
      <c r="AB180" s="77" t="str">
        <f t="shared" ca="1" si="18"/>
        <v/>
      </c>
      <c r="AC180" s="84"/>
      <c r="AD180" s="84"/>
      <c r="AE180" s="85"/>
      <c r="AF180" s="84"/>
      <c r="AG180" s="84"/>
      <c r="AH180" s="85"/>
      <c r="AI180" s="85"/>
      <c r="AJ180" s="86">
        <f>IF(OR(Processos!$H180="Alienação",Processos!$H180="Concessão"),"",(N180-AI180)-(AE180+AH180))</f>
        <v>0</v>
      </c>
      <c r="AK180" s="87" t="str">
        <f t="shared" si="19"/>
        <v/>
      </c>
      <c r="AL180" s="79"/>
      <c r="AM180" s="88"/>
      <c r="AN180" s="89"/>
      <c r="AO180" s="90" t="str">
        <f>IF(Tabela1[[#This Row],[Data de aprovação]]="","",Tabela1[[#This Row],[Data de aprovação]]-Tabela1[[#This Row],[Data de abertura]])</f>
        <v/>
      </c>
      <c r="AP180" s="91"/>
      <c r="AMG180" s="93"/>
      <c r="AMH180" s="93"/>
      <c r="AMI180" s="93"/>
      <c r="AMJ180" s="93"/>
    </row>
    <row r="181" spans="1:1024" s="92" customFormat="1" ht="15" customHeight="1" x14ac:dyDescent="0.15">
      <c r="A181" s="74"/>
      <c r="B181" s="75">
        <v>176</v>
      </c>
      <c r="C181" s="76"/>
      <c r="D181" s="77"/>
      <c r="E181" s="77"/>
      <c r="F181" s="77"/>
      <c r="G181" s="77"/>
      <c r="H181" s="77"/>
      <c r="I181" s="77"/>
      <c r="J181" s="77"/>
      <c r="K181" s="78"/>
      <c r="L181" s="79"/>
      <c r="M181" s="77"/>
      <c r="N181" s="80"/>
      <c r="O181" s="77"/>
      <c r="P181" s="77"/>
      <c r="Q181" s="77"/>
      <c r="R181" s="77"/>
      <c r="S181" s="77"/>
      <c r="T181" s="77"/>
      <c r="U181" s="81"/>
      <c r="V181" s="82"/>
      <c r="W181" s="77"/>
      <c r="X181" s="77"/>
      <c r="Y181" s="77"/>
      <c r="Z181" s="77"/>
      <c r="AA181" s="83"/>
      <c r="AB181" s="77" t="str">
        <f t="shared" ca="1" si="18"/>
        <v/>
      </c>
      <c r="AC181" s="84"/>
      <c r="AD181" s="84"/>
      <c r="AE181" s="85"/>
      <c r="AF181" s="84"/>
      <c r="AG181" s="84"/>
      <c r="AH181" s="85"/>
      <c r="AI181" s="85"/>
      <c r="AJ181" s="86">
        <f>IF(OR(Processos!$H181="Alienação",Processos!$H181="Concessão"),"",(N181-AI181)-(AE181+AH181))</f>
        <v>0</v>
      </c>
      <c r="AK181" s="87" t="str">
        <f t="shared" si="19"/>
        <v/>
      </c>
      <c r="AL181" s="79"/>
      <c r="AM181" s="88"/>
      <c r="AN181" s="89"/>
      <c r="AO181" s="90" t="str">
        <f>IF(Tabela1[[#This Row],[Data de aprovação]]="","",Tabela1[[#This Row],[Data de aprovação]]-Tabela1[[#This Row],[Data de abertura]])</f>
        <v/>
      </c>
      <c r="AP181" s="91"/>
      <c r="AMG181" s="93"/>
      <c r="AMH181" s="93"/>
      <c r="AMI181" s="93"/>
      <c r="AMJ181" s="93"/>
    </row>
    <row r="182" spans="1:1024" s="92" customFormat="1" ht="15" customHeight="1" x14ac:dyDescent="0.15">
      <c r="A182" s="74"/>
      <c r="B182" s="75">
        <v>177</v>
      </c>
      <c r="C182" s="76"/>
      <c r="D182" s="77"/>
      <c r="E182" s="77"/>
      <c r="F182" s="77"/>
      <c r="G182" s="77"/>
      <c r="H182" s="77"/>
      <c r="I182" s="77"/>
      <c r="J182" s="77"/>
      <c r="K182" s="78"/>
      <c r="L182" s="79"/>
      <c r="M182" s="77"/>
      <c r="N182" s="80"/>
      <c r="O182" s="77"/>
      <c r="P182" s="77"/>
      <c r="Q182" s="77"/>
      <c r="R182" s="77"/>
      <c r="S182" s="77"/>
      <c r="T182" s="77"/>
      <c r="U182" s="81"/>
      <c r="V182" s="82"/>
      <c r="W182" s="77"/>
      <c r="X182" s="77"/>
      <c r="Y182" s="77"/>
      <c r="Z182" s="77"/>
      <c r="AA182" s="83"/>
      <c r="AB182" s="77" t="str">
        <f t="shared" ca="1" si="18"/>
        <v/>
      </c>
      <c r="AC182" s="84"/>
      <c r="AD182" s="84"/>
      <c r="AE182" s="85"/>
      <c r="AF182" s="84"/>
      <c r="AG182" s="84"/>
      <c r="AH182" s="85"/>
      <c r="AI182" s="85"/>
      <c r="AJ182" s="86">
        <f>IF(OR(Processos!$H182="Alienação",Processos!$H182="Concessão"),"",(N182-AI182)-(AE182+AH182))</f>
        <v>0</v>
      </c>
      <c r="AK182" s="87" t="str">
        <f t="shared" si="19"/>
        <v/>
      </c>
      <c r="AL182" s="79"/>
      <c r="AM182" s="88"/>
      <c r="AN182" s="89"/>
      <c r="AO182" s="90" t="str">
        <f>IF(Tabela1[[#This Row],[Data de aprovação]]="","",Tabela1[[#This Row],[Data de aprovação]]-Tabela1[[#This Row],[Data de abertura]])</f>
        <v/>
      </c>
      <c r="AP182" s="91"/>
      <c r="AMG182" s="93"/>
      <c r="AMH182" s="93"/>
      <c r="AMI182" s="93"/>
      <c r="AMJ182" s="93"/>
    </row>
    <row r="183" spans="1:1024" s="92" customFormat="1" ht="15" customHeight="1" x14ac:dyDescent="0.15">
      <c r="A183" s="74"/>
      <c r="B183" s="75">
        <v>178</v>
      </c>
      <c r="C183" s="76"/>
      <c r="D183" s="77"/>
      <c r="E183" s="77"/>
      <c r="F183" s="77"/>
      <c r="G183" s="77"/>
      <c r="H183" s="77"/>
      <c r="I183" s="77"/>
      <c r="J183" s="77"/>
      <c r="K183" s="78"/>
      <c r="L183" s="79"/>
      <c r="M183" s="77"/>
      <c r="N183" s="80"/>
      <c r="O183" s="77"/>
      <c r="P183" s="77"/>
      <c r="Q183" s="77"/>
      <c r="R183" s="77"/>
      <c r="S183" s="77"/>
      <c r="T183" s="77"/>
      <c r="U183" s="81"/>
      <c r="V183" s="82"/>
      <c r="W183" s="77"/>
      <c r="X183" s="77"/>
      <c r="Y183" s="77"/>
      <c r="Z183" s="77"/>
      <c r="AA183" s="83"/>
      <c r="AB183" s="77" t="str">
        <f t="shared" ca="1" si="18"/>
        <v/>
      </c>
      <c r="AC183" s="84"/>
      <c r="AD183" s="84"/>
      <c r="AE183" s="85"/>
      <c r="AF183" s="84"/>
      <c r="AG183" s="84"/>
      <c r="AH183" s="85"/>
      <c r="AI183" s="85"/>
      <c r="AJ183" s="86">
        <f>IF(OR(Processos!$H183="Alienação",Processos!$H183="Concessão"),"",(N183-AI183)-(AE183+AH183))</f>
        <v>0</v>
      </c>
      <c r="AK183" s="87" t="str">
        <f t="shared" si="19"/>
        <v/>
      </c>
      <c r="AL183" s="79"/>
      <c r="AM183" s="88"/>
      <c r="AN183" s="89"/>
      <c r="AO183" s="90" t="str">
        <f>IF(Tabela1[[#This Row],[Data de aprovação]]="","",Tabela1[[#This Row],[Data de aprovação]]-Tabela1[[#This Row],[Data de abertura]])</f>
        <v/>
      </c>
      <c r="AP183" s="91"/>
      <c r="AMG183" s="93"/>
      <c r="AMH183" s="93"/>
      <c r="AMI183" s="93"/>
      <c r="AMJ183" s="93"/>
    </row>
    <row r="184" spans="1:1024" s="92" customFormat="1" ht="15" customHeight="1" x14ac:dyDescent="0.15">
      <c r="A184" s="74"/>
      <c r="B184" s="75">
        <v>179</v>
      </c>
      <c r="C184" s="76"/>
      <c r="D184" s="77"/>
      <c r="E184" s="77"/>
      <c r="F184" s="77"/>
      <c r="G184" s="77"/>
      <c r="H184" s="77"/>
      <c r="I184" s="77"/>
      <c r="J184" s="77"/>
      <c r="K184" s="78"/>
      <c r="L184" s="79"/>
      <c r="M184" s="77"/>
      <c r="N184" s="80"/>
      <c r="O184" s="77"/>
      <c r="P184" s="77"/>
      <c r="Q184" s="77"/>
      <c r="R184" s="77"/>
      <c r="S184" s="77"/>
      <c r="T184" s="77"/>
      <c r="U184" s="81"/>
      <c r="V184" s="82"/>
      <c r="W184" s="77"/>
      <c r="X184" s="77"/>
      <c r="Y184" s="77"/>
      <c r="Z184" s="77"/>
      <c r="AA184" s="83"/>
      <c r="AB184" s="77" t="str">
        <f t="shared" ca="1" si="18"/>
        <v/>
      </c>
      <c r="AC184" s="84"/>
      <c r="AD184" s="84"/>
      <c r="AE184" s="85"/>
      <c r="AF184" s="84"/>
      <c r="AG184" s="84"/>
      <c r="AH184" s="85"/>
      <c r="AI184" s="85"/>
      <c r="AJ184" s="86">
        <f>IF(OR(Processos!$H184="Alienação",Processos!$H184="Concessão"),"",(N184-AI184)-(AE184+AH184))</f>
        <v>0</v>
      </c>
      <c r="AK184" s="87" t="str">
        <f t="shared" si="19"/>
        <v/>
      </c>
      <c r="AL184" s="79"/>
      <c r="AM184" s="88"/>
      <c r="AN184" s="89"/>
      <c r="AO184" s="90" t="str">
        <f>IF(Tabela1[[#This Row],[Data de aprovação]]="","",Tabela1[[#This Row],[Data de aprovação]]-Tabela1[[#This Row],[Data de abertura]])</f>
        <v/>
      </c>
      <c r="AP184" s="91"/>
      <c r="AMG184" s="93"/>
      <c r="AMH184" s="93"/>
      <c r="AMI184" s="93"/>
      <c r="AMJ184" s="93"/>
    </row>
    <row r="185" spans="1:1024" s="92" customFormat="1" ht="15" customHeight="1" x14ac:dyDescent="0.15">
      <c r="A185" s="74"/>
      <c r="B185" s="75">
        <v>180</v>
      </c>
      <c r="C185" s="76"/>
      <c r="D185" s="77"/>
      <c r="E185" s="77"/>
      <c r="F185" s="77"/>
      <c r="G185" s="77"/>
      <c r="H185" s="77"/>
      <c r="I185" s="77"/>
      <c r="J185" s="77"/>
      <c r="K185" s="78"/>
      <c r="L185" s="79"/>
      <c r="M185" s="77"/>
      <c r="N185" s="80"/>
      <c r="O185" s="77"/>
      <c r="P185" s="77"/>
      <c r="Q185" s="77"/>
      <c r="R185" s="77"/>
      <c r="S185" s="77"/>
      <c r="T185" s="77"/>
      <c r="U185" s="81"/>
      <c r="V185" s="82"/>
      <c r="W185" s="77"/>
      <c r="X185" s="77"/>
      <c r="Y185" s="77"/>
      <c r="Z185" s="77"/>
      <c r="AA185" s="83"/>
      <c r="AB185" s="77" t="str">
        <f t="shared" ca="1" si="18"/>
        <v/>
      </c>
      <c r="AC185" s="84"/>
      <c r="AD185" s="84"/>
      <c r="AE185" s="85"/>
      <c r="AF185" s="84"/>
      <c r="AG185" s="84"/>
      <c r="AH185" s="85"/>
      <c r="AI185" s="85"/>
      <c r="AJ185" s="86">
        <f>IF(OR(Processos!$H185="Alienação",Processos!$H185="Concessão"),"",(N185-AI185)-(AE185+AH185))</f>
        <v>0</v>
      </c>
      <c r="AK185" s="87" t="str">
        <f t="shared" si="19"/>
        <v/>
      </c>
      <c r="AL185" s="79"/>
      <c r="AM185" s="88"/>
      <c r="AN185" s="89"/>
      <c r="AO185" s="90" t="str">
        <f>IF(Tabela1[[#This Row],[Data de aprovação]]="","",Tabela1[[#This Row],[Data de aprovação]]-Tabela1[[#This Row],[Data de abertura]])</f>
        <v/>
      </c>
      <c r="AP185" s="91"/>
      <c r="AMG185" s="93"/>
      <c r="AMH185" s="93"/>
      <c r="AMI185" s="93"/>
      <c r="AMJ185" s="93"/>
    </row>
    <row r="186" spans="1:1024" s="92" customFormat="1" ht="15" customHeight="1" x14ac:dyDescent="0.15">
      <c r="A186" s="74"/>
      <c r="B186" s="75">
        <v>181</v>
      </c>
      <c r="C186" s="76"/>
      <c r="D186" s="77"/>
      <c r="E186" s="77"/>
      <c r="F186" s="77"/>
      <c r="G186" s="77"/>
      <c r="H186" s="77"/>
      <c r="I186" s="77"/>
      <c r="J186" s="77"/>
      <c r="K186" s="78"/>
      <c r="L186" s="79"/>
      <c r="M186" s="77"/>
      <c r="N186" s="80"/>
      <c r="O186" s="77"/>
      <c r="P186" s="77"/>
      <c r="Q186" s="77"/>
      <c r="R186" s="77"/>
      <c r="S186" s="77"/>
      <c r="T186" s="77"/>
      <c r="U186" s="81"/>
      <c r="V186" s="82"/>
      <c r="W186" s="77"/>
      <c r="X186" s="77"/>
      <c r="Y186" s="77"/>
      <c r="Z186" s="77"/>
      <c r="AA186" s="83"/>
      <c r="AB186" s="77" t="str">
        <f t="shared" ca="1" si="18"/>
        <v/>
      </c>
      <c r="AC186" s="84"/>
      <c r="AD186" s="84"/>
      <c r="AE186" s="85"/>
      <c r="AF186" s="84"/>
      <c r="AG186" s="84"/>
      <c r="AH186" s="85"/>
      <c r="AI186" s="85"/>
      <c r="AJ186" s="86">
        <f>IF(OR(Processos!$H186="Alienação",Processos!$H186="Concessão"),"",(N186-AI186)-(AE186+AH186))</f>
        <v>0</v>
      </c>
      <c r="AK186" s="87" t="str">
        <f t="shared" si="19"/>
        <v/>
      </c>
      <c r="AL186" s="79"/>
      <c r="AM186" s="88"/>
      <c r="AN186" s="89"/>
      <c r="AO186" s="90" t="str">
        <f>IF(Tabela1[[#This Row],[Data de aprovação]]="","",Tabela1[[#This Row],[Data de aprovação]]-Tabela1[[#This Row],[Data de abertura]])</f>
        <v/>
      </c>
      <c r="AP186" s="91"/>
      <c r="AMG186" s="93"/>
      <c r="AMH186" s="93"/>
      <c r="AMI186" s="93"/>
      <c r="AMJ186" s="93"/>
    </row>
    <row r="187" spans="1:1024" s="92" customFormat="1" ht="15" customHeight="1" x14ac:dyDescent="0.15">
      <c r="A187" s="74"/>
      <c r="B187" s="75">
        <v>182</v>
      </c>
      <c r="C187" s="76"/>
      <c r="D187" s="77"/>
      <c r="E187" s="77"/>
      <c r="F187" s="77"/>
      <c r="G187" s="77"/>
      <c r="H187" s="77"/>
      <c r="I187" s="77"/>
      <c r="J187" s="77"/>
      <c r="K187" s="78"/>
      <c r="L187" s="79"/>
      <c r="M187" s="77"/>
      <c r="N187" s="80"/>
      <c r="O187" s="77"/>
      <c r="P187" s="77"/>
      <c r="Q187" s="77"/>
      <c r="R187" s="77"/>
      <c r="S187" s="77"/>
      <c r="T187" s="77"/>
      <c r="U187" s="81"/>
      <c r="V187" s="82"/>
      <c r="W187" s="77"/>
      <c r="X187" s="77"/>
      <c r="Y187" s="77"/>
      <c r="Z187" s="77"/>
      <c r="AA187" s="83"/>
      <c r="AB187" s="77" t="str">
        <f t="shared" ca="1" si="18"/>
        <v/>
      </c>
      <c r="AC187" s="84"/>
      <c r="AD187" s="84"/>
      <c r="AE187" s="85"/>
      <c r="AF187" s="84"/>
      <c r="AG187" s="84"/>
      <c r="AH187" s="85"/>
      <c r="AI187" s="85"/>
      <c r="AJ187" s="86">
        <f>IF(OR(Processos!$H187="Alienação",Processos!$H187="Concessão"),"",(N187-AI187)-(AE187+AH187))</f>
        <v>0</v>
      </c>
      <c r="AK187" s="87" t="str">
        <f t="shared" si="19"/>
        <v/>
      </c>
      <c r="AL187" s="79"/>
      <c r="AM187" s="88"/>
      <c r="AN187" s="89"/>
      <c r="AO187" s="90" t="str">
        <f>IF(Tabela1[[#This Row],[Data de aprovação]]="","",Tabela1[[#This Row],[Data de aprovação]]-Tabela1[[#This Row],[Data de abertura]])</f>
        <v/>
      </c>
      <c r="AP187" s="91"/>
      <c r="AMG187" s="93"/>
      <c r="AMH187" s="93"/>
      <c r="AMI187" s="93"/>
      <c r="AMJ187" s="93"/>
    </row>
    <row r="188" spans="1:1024" s="92" customFormat="1" ht="15" customHeight="1" x14ac:dyDescent="0.15">
      <c r="A188" s="74"/>
      <c r="B188" s="75">
        <v>183</v>
      </c>
      <c r="C188" s="76"/>
      <c r="D188" s="77"/>
      <c r="E188" s="77"/>
      <c r="F188" s="77"/>
      <c r="G188" s="77"/>
      <c r="H188" s="77"/>
      <c r="I188" s="77"/>
      <c r="J188" s="77"/>
      <c r="K188" s="78"/>
      <c r="L188" s="79"/>
      <c r="M188" s="77"/>
      <c r="N188" s="80"/>
      <c r="O188" s="77"/>
      <c r="P188" s="77"/>
      <c r="Q188" s="77"/>
      <c r="R188" s="77"/>
      <c r="S188" s="77"/>
      <c r="T188" s="77"/>
      <c r="U188" s="81"/>
      <c r="V188" s="82"/>
      <c r="W188" s="77"/>
      <c r="X188" s="77"/>
      <c r="Y188" s="77"/>
      <c r="Z188" s="77"/>
      <c r="AA188" s="83"/>
      <c r="AB188" s="77" t="str">
        <f t="shared" ca="1" si="18"/>
        <v/>
      </c>
      <c r="AC188" s="84"/>
      <c r="AD188" s="84"/>
      <c r="AE188" s="85"/>
      <c r="AF188" s="84"/>
      <c r="AG188" s="84"/>
      <c r="AH188" s="85"/>
      <c r="AI188" s="85"/>
      <c r="AJ188" s="86">
        <f>IF(OR(Processos!$H188="Alienação",Processos!$H188="Concessão"),"",(N188-AI188)-(AE188+AH188))</f>
        <v>0</v>
      </c>
      <c r="AK188" s="87" t="str">
        <f t="shared" si="19"/>
        <v/>
      </c>
      <c r="AL188" s="79"/>
      <c r="AM188" s="88"/>
      <c r="AN188" s="89"/>
      <c r="AO188" s="90" t="str">
        <f>IF(Tabela1[[#This Row],[Data de aprovação]]="","",Tabela1[[#This Row],[Data de aprovação]]-Tabela1[[#This Row],[Data de abertura]])</f>
        <v/>
      </c>
      <c r="AP188" s="91"/>
      <c r="AMG188" s="93"/>
      <c r="AMH188" s="93"/>
      <c r="AMI188" s="93"/>
      <c r="AMJ188" s="93"/>
    </row>
    <row r="189" spans="1:1024" s="92" customFormat="1" ht="15" customHeight="1" x14ac:dyDescent="0.15">
      <c r="A189" s="74"/>
      <c r="B189" s="75">
        <v>184</v>
      </c>
      <c r="C189" s="76"/>
      <c r="D189" s="77"/>
      <c r="E189" s="77"/>
      <c r="F189" s="77"/>
      <c r="G189" s="77"/>
      <c r="H189" s="77"/>
      <c r="I189" s="77"/>
      <c r="J189" s="77"/>
      <c r="K189" s="78"/>
      <c r="L189" s="79"/>
      <c r="M189" s="77"/>
      <c r="N189" s="80"/>
      <c r="O189" s="77"/>
      <c r="P189" s="77"/>
      <c r="Q189" s="77"/>
      <c r="R189" s="77"/>
      <c r="S189" s="77"/>
      <c r="T189" s="77"/>
      <c r="U189" s="81"/>
      <c r="V189" s="82"/>
      <c r="W189" s="77"/>
      <c r="X189" s="77"/>
      <c r="Y189" s="77"/>
      <c r="Z189" s="77"/>
      <c r="AA189" s="83"/>
      <c r="AB189" s="77" t="str">
        <f t="shared" ca="1" si="18"/>
        <v/>
      </c>
      <c r="AC189" s="84"/>
      <c r="AD189" s="84"/>
      <c r="AE189" s="85"/>
      <c r="AF189" s="84"/>
      <c r="AG189" s="84"/>
      <c r="AH189" s="85"/>
      <c r="AI189" s="85"/>
      <c r="AJ189" s="86">
        <f>IF(OR(Processos!$H189="Alienação",Processos!$H189="Concessão"),"",(N189-AI189)-(AE189+AH189))</f>
        <v>0</v>
      </c>
      <c r="AK189" s="87" t="str">
        <f t="shared" si="19"/>
        <v/>
      </c>
      <c r="AL189" s="79"/>
      <c r="AM189" s="88"/>
      <c r="AN189" s="89"/>
      <c r="AO189" s="90" t="str">
        <f>IF(Tabela1[[#This Row],[Data de aprovação]]="","",Tabela1[[#This Row],[Data de aprovação]]-Tabela1[[#This Row],[Data de abertura]])</f>
        <v/>
      </c>
      <c r="AP189" s="91"/>
      <c r="AMG189" s="93"/>
      <c r="AMH189" s="93"/>
      <c r="AMI189" s="93"/>
      <c r="AMJ189" s="93"/>
    </row>
    <row r="190" spans="1:1024" s="92" customFormat="1" ht="15" customHeight="1" x14ac:dyDescent="0.15">
      <c r="A190" s="74"/>
      <c r="B190" s="75">
        <v>185</v>
      </c>
      <c r="C190" s="76"/>
      <c r="D190" s="77"/>
      <c r="E190" s="77"/>
      <c r="F190" s="77"/>
      <c r="G190" s="77"/>
      <c r="H190" s="77"/>
      <c r="I190" s="77"/>
      <c r="J190" s="77"/>
      <c r="K190" s="78"/>
      <c r="L190" s="79"/>
      <c r="M190" s="77"/>
      <c r="N190" s="80"/>
      <c r="O190" s="77"/>
      <c r="P190" s="77"/>
      <c r="Q190" s="77"/>
      <c r="R190" s="77"/>
      <c r="S190" s="77"/>
      <c r="T190" s="77"/>
      <c r="U190" s="81"/>
      <c r="V190" s="82"/>
      <c r="W190" s="77"/>
      <c r="X190" s="77"/>
      <c r="Y190" s="77"/>
      <c r="Z190" s="77"/>
      <c r="AA190" s="83"/>
      <c r="AB190" s="77" t="str">
        <f t="shared" ca="1" si="18"/>
        <v/>
      </c>
      <c r="AC190" s="84"/>
      <c r="AD190" s="84"/>
      <c r="AE190" s="85"/>
      <c r="AF190" s="84"/>
      <c r="AG190" s="84"/>
      <c r="AH190" s="85"/>
      <c r="AI190" s="85"/>
      <c r="AJ190" s="86">
        <f>IF(OR(Processos!$H190="Alienação",Processos!$H190="Concessão"),"",(N190-AI190)-(AE190+AH190))</f>
        <v>0</v>
      </c>
      <c r="AK190" s="87" t="str">
        <f t="shared" si="19"/>
        <v/>
      </c>
      <c r="AL190" s="79"/>
      <c r="AM190" s="88"/>
      <c r="AN190" s="89"/>
      <c r="AO190" s="90" t="str">
        <f>IF(Tabela1[[#This Row],[Data de aprovação]]="","",Tabela1[[#This Row],[Data de aprovação]]-Tabela1[[#This Row],[Data de abertura]])</f>
        <v/>
      </c>
      <c r="AP190" s="91"/>
      <c r="AMG190" s="93"/>
      <c r="AMH190" s="93"/>
      <c r="AMI190" s="93"/>
      <c r="AMJ190" s="93"/>
    </row>
    <row r="191" spans="1:1024" s="92" customFormat="1" ht="15" customHeight="1" x14ac:dyDescent="0.15">
      <c r="A191" s="74"/>
      <c r="B191" s="75">
        <v>186</v>
      </c>
      <c r="C191" s="76"/>
      <c r="D191" s="77"/>
      <c r="E191" s="77"/>
      <c r="F191" s="77"/>
      <c r="G191" s="77"/>
      <c r="H191" s="77"/>
      <c r="I191" s="77"/>
      <c r="J191" s="77"/>
      <c r="K191" s="78"/>
      <c r="L191" s="79"/>
      <c r="M191" s="77"/>
      <c r="N191" s="80"/>
      <c r="O191" s="77"/>
      <c r="P191" s="77"/>
      <c r="Q191" s="77"/>
      <c r="R191" s="77"/>
      <c r="S191" s="77"/>
      <c r="T191" s="77"/>
      <c r="U191" s="81"/>
      <c r="V191" s="82"/>
      <c r="W191" s="77"/>
      <c r="X191" s="77"/>
      <c r="Y191" s="77"/>
      <c r="Z191" s="77"/>
      <c r="AA191" s="83"/>
      <c r="AB191" s="77" t="str">
        <f t="shared" ca="1" si="18"/>
        <v/>
      </c>
      <c r="AC191" s="84"/>
      <c r="AD191" s="84"/>
      <c r="AE191" s="85"/>
      <c r="AF191" s="84"/>
      <c r="AG191" s="84"/>
      <c r="AH191" s="85"/>
      <c r="AI191" s="85"/>
      <c r="AJ191" s="86">
        <f>IF(OR(Processos!$H191="Alienação",Processos!$H191="Concessão"),"",(N191-AI191)-(AE191+AH191))</f>
        <v>0</v>
      </c>
      <c r="AK191" s="87" t="str">
        <f t="shared" si="19"/>
        <v/>
      </c>
      <c r="AL191" s="79"/>
      <c r="AM191" s="88"/>
      <c r="AN191" s="89"/>
      <c r="AO191" s="90" t="str">
        <f>IF(Tabela1[[#This Row],[Data de aprovação]]="","",Tabela1[[#This Row],[Data de aprovação]]-Tabela1[[#This Row],[Data de abertura]])</f>
        <v/>
      </c>
      <c r="AP191" s="91"/>
      <c r="AMG191" s="93"/>
      <c r="AMH191" s="93"/>
      <c r="AMI191" s="93"/>
      <c r="AMJ191" s="93"/>
    </row>
    <row r="192" spans="1:1024" s="92" customFormat="1" ht="15" customHeight="1" x14ac:dyDescent="0.15">
      <c r="A192" s="74"/>
      <c r="B192" s="75">
        <v>187</v>
      </c>
      <c r="C192" s="76"/>
      <c r="D192" s="77"/>
      <c r="E192" s="77"/>
      <c r="F192" s="77"/>
      <c r="G192" s="77"/>
      <c r="H192" s="77"/>
      <c r="I192" s="77"/>
      <c r="J192" s="77"/>
      <c r="K192" s="78"/>
      <c r="L192" s="79"/>
      <c r="M192" s="77"/>
      <c r="N192" s="80"/>
      <c r="O192" s="77"/>
      <c r="P192" s="77"/>
      <c r="Q192" s="77"/>
      <c r="R192" s="77"/>
      <c r="S192" s="77"/>
      <c r="T192" s="77"/>
      <c r="U192" s="81"/>
      <c r="V192" s="82"/>
      <c r="W192" s="77"/>
      <c r="X192" s="77"/>
      <c r="Y192" s="77"/>
      <c r="Z192" s="77"/>
      <c r="AA192" s="83"/>
      <c r="AB192" s="77" t="str">
        <f t="shared" ca="1" si="18"/>
        <v/>
      </c>
      <c r="AC192" s="84"/>
      <c r="AD192" s="84"/>
      <c r="AE192" s="85"/>
      <c r="AF192" s="84"/>
      <c r="AG192" s="84"/>
      <c r="AH192" s="85"/>
      <c r="AI192" s="85"/>
      <c r="AJ192" s="86">
        <f>IF(OR(Processos!$H192="Alienação",Processos!$H192="Concessão"),"",(N192-AI192)-(AE192+AH192))</f>
        <v>0</v>
      </c>
      <c r="AK192" s="87" t="str">
        <f t="shared" si="19"/>
        <v/>
      </c>
      <c r="AL192" s="79"/>
      <c r="AM192" s="88"/>
      <c r="AN192" s="89"/>
      <c r="AO192" s="90" t="str">
        <f>IF(Tabela1[[#This Row],[Data de aprovação]]="","",Tabela1[[#This Row],[Data de aprovação]]-Tabela1[[#This Row],[Data de abertura]])</f>
        <v/>
      </c>
      <c r="AP192" s="91"/>
      <c r="AMG192" s="93"/>
      <c r="AMH192" s="93"/>
      <c r="AMI192" s="93"/>
      <c r="AMJ192" s="93"/>
    </row>
    <row r="193" spans="1:1024" s="92" customFormat="1" ht="15" customHeight="1" x14ac:dyDescent="0.15">
      <c r="A193" s="74"/>
      <c r="B193" s="75">
        <v>188</v>
      </c>
      <c r="C193" s="76"/>
      <c r="D193" s="77"/>
      <c r="E193" s="77"/>
      <c r="F193" s="77"/>
      <c r="G193" s="77"/>
      <c r="H193" s="77"/>
      <c r="I193" s="77"/>
      <c r="J193" s="77"/>
      <c r="K193" s="78"/>
      <c r="L193" s="79"/>
      <c r="M193" s="77"/>
      <c r="N193" s="80"/>
      <c r="O193" s="77"/>
      <c r="P193" s="77"/>
      <c r="Q193" s="77"/>
      <c r="R193" s="77"/>
      <c r="S193" s="77"/>
      <c r="T193" s="77"/>
      <c r="U193" s="81"/>
      <c r="V193" s="82"/>
      <c r="W193" s="77"/>
      <c r="X193" s="77"/>
      <c r="Y193" s="77"/>
      <c r="Z193" s="77"/>
      <c r="AA193" s="83"/>
      <c r="AB193" s="77" t="str">
        <f t="shared" ca="1" si="18"/>
        <v/>
      </c>
      <c r="AC193" s="84"/>
      <c r="AD193" s="84"/>
      <c r="AE193" s="85"/>
      <c r="AF193" s="84"/>
      <c r="AG193" s="84"/>
      <c r="AH193" s="85"/>
      <c r="AI193" s="85"/>
      <c r="AJ193" s="86">
        <f>IF(OR(Processos!$H193="Alienação",Processos!$H193="Concessão"),"",(N193-AI193)-(AE193+AH193))</f>
        <v>0</v>
      </c>
      <c r="AK193" s="87" t="str">
        <f t="shared" si="19"/>
        <v/>
      </c>
      <c r="AL193" s="79"/>
      <c r="AM193" s="88"/>
      <c r="AN193" s="89"/>
      <c r="AO193" s="90" t="str">
        <f>IF(Tabela1[[#This Row],[Data de aprovação]]="","",Tabela1[[#This Row],[Data de aprovação]]-Tabela1[[#This Row],[Data de abertura]])</f>
        <v/>
      </c>
      <c r="AP193" s="91"/>
      <c r="AMG193" s="93"/>
      <c r="AMH193" s="93"/>
      <c r="AMI193" s="93"/>
      <c r="AMJ193" s="93"/>
    </row>
    <row r="194" spans="1:1024" s="92" customFormat="1" ht="15" customHeight="1" x14ac:dyDescent="0.15">
      <c r="A194" s="74"/>
      <c r="B194" s="75">
        <v>189</v>
      </c>
      <c r="C194" s="76"/>
      <c r="D194" s="77"/>
      <c r="E194" s="77"/>
      <c r="F194" s="77"/>
      <c r="G194" s="77"/>
      <c r="H194" s="77"/>
      <c r="I194" s="77"/>
      <c r="J194" s="77"/>
      <c r="K194" s="78"/>
      <c r="L194" s="79"/>
      <c r="M194" s="77"/>
      <c r="N194" s="80"/>
      <c r="O194" s="77"/>
      <c r="P194" s="77"/>
      <c r="Q194" s="77"/>
      <c r="R194" s="77"/>
      <c r="S194" s="77"/>
      <c r="T194" s="77"/>
      <c r="U194" s="81"/>
      <c r="V194" s="82"/>
      <c r="W194" s="77"/>
      <c r="X194" s="77"/>
      <c r="Y194" s="77"/>
      <c r="Z194" s="77"/>
      <c r="AA194" s="83"/>
      <c r="AB194" s="77" t="str">
        <f t="shared" ca="1" si="18"/>
        <v/>
      </c>
      <c r="AC194" s="84"/>
      <c r="AD194" s="84"/>
      <c r="AE194" s="85"/>
      <c r="AF194" s="84"/>
      <c r="AG194" s="84"/>
      <c r="AH194" s="85"/>
      <c r="AI194" s="85"/>
      <c r="AJ194" s="86">
        <f>IF(OR(Processos!$H194="Alienação",Processos!$H194="Concessão"),"",(N194-AI194)-(AE194+AH194))</f>
        <v>0</v>
      </c>
      <c r="AK194" s="87" t="str">
        <f t="shared" si="19"/>
        <v/>
      </c>
      <c r="AL194" s="79"/>
      <c r="AM194" s="88"/>
      <c r="AN194" s="89"/>
      <c r="AO194" s="90" t="str">
        <f>IF(Tabela1[[#This Row],[Data de aprovação]]="","",Tabela1[[#This Row],[Data de aprovação]]-Tabela1[[#This Row],[Data de abertura]])</f>
        <v/>
      </c>
      <c r="AP194" s="91"/>
      <c r="AMG194" s="93"/>
      <c r="AMH194" s="93"/>
      <c r="AMI194" s="93"/>
      <c r="AMJ194" s="93"/>
    </row>
    <row r="195" spans="1:1024" s="92" customFormat="1" ht="15" customHeight="1" x14ac:dyDescent="0.15">
      <c r="A195" s="74"/>
      <c r="B195" s="75">
        <v>190</v>
      </c>
      <c r="C195" s="76"/>
      <c r="D195" s="77"/>
      <c r="E195" s="77"/>
      <c r="F195" s="77"/>
      <c r="G195" s="77"/>
      <c r="H195" s="77"/>
      <c r="I195" s="77"/>
      <c r="J195" s="77"/>
      <c r="K195" s="78"/>
      <c r="L195" s="79"/>
      <c r="M195" s="77"/>
      <c r="N195" s="80"/>
      <c r="O195" s="77"/>
      <c r="P195" s="77"/>
      <c r="Q195" s="77"/>
      <c r="R195" s="77"/>
      <c r="S195" s="77"/>
      <c r="T195" s="77"/>
      <c r="U195" s="81"/>
      <c r="V195" s="82"/>
      <c r="W195" s="77"/>
      <c r="X195" s="77"/>
      <c r="Y195" s="77"/>
      <c r="Z195" s="77"/>
      <c r="AA195" s="83"/>
      <c r="AB195" s="77" t="str">
        <f t="shared" ca="1" si="18"/>
        <v/>
      </c>
      <c r="AC195" s="84"/>
      <c r="AD195" s="84"/>
      <c r="AE195" s="85"/>
      <c r="AF195" s="84"/>
      <c r="AG195" s="84"/>
      <c r="AH195" s="85"/>
      <c r="AI195" s="85"/>
      <c r="AJ195" s="86">
        <f>IF(OR(Processos!$H195="Alienação",Processos!$H195="Concessão"),"",(N195-AI195)-(AE195+AH195))</f>
        <v>0</v>
      </c>
      <c r="AK195" s="87" t="str">
        <f t="shared" si="19"/>
        <v/>
      </c>
      <c r="AL195" s="79"/>
      <c r="AM195" s="88"/>
      <c r="AN195" s="89"/>
      <c r="AO195" s="90" t="str">
        <f>IF(Tabela1[[#This Row],[Data de aprovação]]="","",Tabela1[[#This Row],[Data de aprovação]]-Tabela1[[#This Row],[Data de abertura]])</f>
        <v/>
      </c>
      <c r="AP195" s="91"/>
      <c r="AMG195" s="93"/>
      <c r="AMH195" s="93"/>
      <c r="AMI195" s="93"/>
      <c r="AMJ195" s="93"/>
    </row>
    <row r="196" spans="1:1024" s="92" customFormat="1" ht="15" customHeight="1" x14ac:dyDescent="0.15">
      <c r="A196" s="74"/>
      <c r="B196" s="75">
        <v>191</v>
      </c>
      <c r="C196" s="76"/>
      <c r="D196" s="77"/>
      <c r="E196" s="77"/>
      <c r="F196" s="77"/>
      <c r="G196" s="77"/>
      <c r="H196" s="77"/>
      <c r="I196" s="77"/>
      <c r="J196" s="77"/>
      <c r="K196" s="78"/>
      <c r="L196" s="79"/>
      <c r="M196" s="77"/>
      <c r="N196" s="80"/>
      <c r="O196" s="77"/>
      <c r="P196" s="77"/>
      <c r="Q196" s="77"/>
      <c r="R196" s="77"/>
      <c r="S196" s="77"/>
      <c r="T196" s="77"/>
      <c r="U196" s="81"/>
      <c r="V196" s="82"/>
      <c r="W196" s="77"/>
      <c r="X196" s="77"/>
      <c r="Y196" s="77"/>
      <c r="Z196" s="77"/>
      <c r="AA196" s="83"/>
      <c r="AB196" s="77" t="str">
        <f t="shared" ca="1" si="18"/>
        <v/>
      </c>
      <c r="AC196" s="84"/>
      <c r="AD196" s="84"/>
      <c r="AE196" s="85"/>
      <c r="AF196" s="84"/>
      <c r="AG196" s="84"/>
      <c r="AH196" s="85"/>
      <c r="AI196" s="85"/>
      <c r="AJ196" s="86">
        <f>IF(OR(Processos!$H196="Alienação",Processos!$H196="Concessão"),"",(N196-AI196)-(AE196+AH196))</f>
        <v>0</v>
      </c>
      <c r="AK196" s="87" t="str">
        <f t="shared" si="19"/>
        <v/>
      </c>
      <c r="AL196" s="79"/>
      <c r="AM196" s="88"/>
      <c r="AN196" s="89"/>
      <c r="AO196" s="90" t="str">
        <f>IF(Tabela1[[#This Row],[Data de aprovação]]="","",Tabela1[[#This Row],[Data de aprovação]]-Tabela1[[#This Row],[Data de abertura]])</f>
        <v/>
      </c>
      <c r="AP196" s="91"/>
      <c r="AMG196" s="93"/>
      <c r="AMH196" s="93"/>
      <c r="AMI196" s="93"/>
      <c r="AMJ196" s="93"/>
    </row>
    <row r="197" spans="1:1024" s="92" customFormat="1" ht="15" customHeight="1" x14ac:dyDescent="0.15">
      <c r="A197" s="74"/>
      <c r="B197" s="75">
        <v>192</v>
      </c>
      <c r="C197" s="76"/>
      <c r="D197" s="77"/>
      <c r="E197" s="77"/>
      <c r="F197" s="77"/>
      <c r="G197" s="77"/>
      <c r="H197" s="77"/>
      <c r="I197" s="77"/>
      <c r="J197" s="77"/>
      <c r="K197" s="78"/>
      <c r="L197" s="79"/>
      <c r="M197" s="77"/>
      <c r="N197" s="80"/>
      <c r="O197" s="77"/>
      <c r="P197" s="77"/>
      <c r="Q197" s="77"/>
      <c r="R197" s="77"/>
      <c r="S197" s="77"/>
      <c r="T197" s="77"/>
      <c r="U197" s="81"/>
      <c r="V197" s="82"/>
      <c r="W197" s="77"/>
      <c r="X197" s="77"/>
      <c r="Y197" s="77"/>
      <c r="Z197" s="77"/>
      <c r="AA197" s="83"/>
      <c r="AB197" s="77" t="str">
        <f t="shared" ca="1" si="18"/>
        <v/>
      </c>
      <c r="AC197" s="84"/>
      <c r="AD197" s="84"/>
      <c r="AE197" s="85"/>
      <c r="AF197" s="84"/>
      <c r="AG197" s="84"/>
      <c r="AH197" s="85"/>
      <c r="AI197" s="85"/>
      <c r="AJ197" s="86">
        <f>IF(OR(Processos!$H197="Alienação",Processos!$H197="Concessão"),"",(N197-AI197)-(AE197+AH197))</f>
        <v>0</v>
      </c>
      <c r="AK197" s="87" t="str">
        <f t="shared" si="19"/>
        <v/>
      </c>
      <c r="AL197" s="79"/>
      <c r="AM197" s="88"/>
      <c r="AN197" s="89"/>
      <c r="AO197" s="90" t="str">
        <f>IF(Tabela1[[#This Row],[Data de aprovação]]="","",Tabela1[[#This Row],[Data de aprovação]]-Tabela1[[#This Row],[Data de abertura]])</f>
        <v/>
      </c>
      <c r="AP197" s="91"/>
      <c r="AMG197" s="93"/>
      <c r="AMH197" s="93"/>
      <c r="AMI197" s="93"/>
      <c r="AMJ197" s="93"/>
    </row>
    <row r="198" spans="1:1024" s="92" customFormat="1" ht="15" customHeight="1" x14ac:dyDescent="0.15">
      <c r="A198" s="74"/>
      <c r="B198" s="75">
        <v>193</v>
      </c>
      <c r="C198" s="76"/>
      <c r="D198" s="77"/>
      <c r="E198" s="77"/>
      <c r="F198" s="77"/>
      <c r="G198" s="77"/>
      <c r="H198" s="77"/>
      <c r="I198" s="77"/>
      <c r="J198" s="77"/>
      <c r="K198" s="78"/>
      <c r="L198" s="79"/>
      <c r="M198" s="77"/>
      <c r="N198" s="80"/>
      <c r="O198" s="77"/>
      <c r="P198" s="77"/>
      <c r="Q198" s="77"/>
      <c r="R198" s="77"/>
      <c r="S198" s="77"/>
      <c r="T198" s="77"/>
      <c r="U198" s="81"/>
      <c r="V198" s="82"/>
      <c r="W198" s="77"/>
      <c r="X198" s="77"/>
      <c r="Y198" s="77"/>
      <c r="Z198" s="77"/>
      <c r="AA198" s="83"/>
      <c r="AB198" s="77" t="str">
        <f t="shared" ca="1" si="18"/>
        <v/>
      </c>
      <c r="AC198" s="84"/>
      <c r="AD198" s="84"/>
      <c r="AE198" s="85"/>
      <c r="AF198" s="84"/>
      <c r="AG198" s="84"/>
      <c r="AH198" s="85"/>
      <c r="AI198" s="85"/>
      <c r="AJ198" s="86">
        <f>IF(OR(Processos!$H198="Alienação",Processos!$H198="Concessão"),"",(N198-AI198)-(AE198+AH198))</f>
        <v>0</v>
      </c>
      <c r="AK198" s="87" t="str">
        <f t="shared" si="19"/>
        <v/>
      </c>
      <c r="AL198" s="79"/>
      <c r="AM198" s="88"/>
      <c r="AN198" s="89"/>
      <c r="AO198" s="90" t="str">
        <f>IF(Tabela1[[#This Row],[Data de aprovação]]="","",Tabela1[[#This Row],[Data de aprovação]]-Tabela1[[#This Row],[Data de abertura]])</f>
        <v/>
      </c>
      <c r="AP198" s="91"/>
      <c r="AMG198" s="93"/>
      <c r="AMH198" s="93"/>
      <c r="AMI198" s="93"/>
      <c r="AMJ198" s="93"/>
    </row>
    <row r="199" spans="1:1024" s="92" customFormat="1" ht="15" customHeight="1" x14ac:dyDescent="0.15">
      <c r="A199" s="74"/>
      <c r="B199" s="75">
        <v>194</v>
      </c>
      <c r="C199" s="76"/>
      <c r="D199" s="77"/>
      <c r="E199" s="77"/>
      <c r="F199" s="77"/>
      <c r="G199" s="77"/>
      <c r="H199" s="77"/>
      <c r="I199" s="77"/>
      <c r="J199" s="77"/>
      <c r="K199" s="78"/>
      <c r="L199" s="79"/>
      <c r="M199" s="77"/>
      <c r="N199" s="80"/>
      <c r="O199" s="77"/>
      <c r="P199" s="77"/>
      <c r="Q199" s="77"/>
      <c r="R199" s="77"/>
      <c r="S199" s="77"/>
      <c r="T199" s="77"/>
      <c r="U199" s="81"/>
      <c r="V199" s="82"/>
      <c r="W199" s="77"/>
      <c r="X199" s="77"/>
      <c r="Y199" s="77"/>
      <c r="Z199" s="77"/>
      <c r="AA199" s="83"/>
      <c r="AB199" s="77" t="str">
        <f t="shared" ca="1" si="18"/>
        <v/>
      </c>
      <c r="AC199" s="84"/>
      <c r="AD199" s="84"/>
      <c r="AE199" s="85"/>
      <c r="AF199" s="84"/>
      <c r="AG199" s="84"/>
      <c r="AH199" s="85"/>
      <c r="AI199" s="85"/>
      <c r="AJ199" s="86">
        <f>IF(OR(Processos!$H199="Alienação",Processos!$H199="Concessão"),"",(N199-AI199)-(AE199+AH199))</f>
        <v>0</v>
      </c>
      <c r="AK199" s="87" t="str">
        <f t="shared" si="19"/>
        <v/>
      </c>
      <c r="AL199" s="79"/>
      <c r="AM199" s="88"/>
      <c r="AN199" s="89"/>
      <c r="AO199" s="90" t="str">
        <f>IF(Tabela1[[#This Row],[Data de aprovação]]="","",Tabela1[[#This Row],[Data de aprovação]]-Tabela1[[#This Row],[Data de abertura]])</f>
        <v/>
      </c>
      <c r="AP199" s="91"/>
      <c r="AMG199" s="93"/>
      <c r="AMH199" s="93"/>
      <c r="AMI199" s="93"/>
      <c r="AMJ199" s="93"/>
    </row>
    <row r="200" spans="1:1024" s="92" customFormat="1" ht="15" customHeight="1" x14ac:dyDescent="0.15">
      <c r="A200" s="74"/>
      <c r="B200" s="75">
        <v>195</v>
      </c>
      <c r="C200" s="76"/>
      <c r="D200" s="77"/>
      <c r="E200" s="77"/>
      <c r="F200" s="77"/>
      <c r="G200" s="77"/>
      <c r="H200" s="77"/>
      <c r="I200" s="77"/>
      <c r="J200" s="77"/>
      <c r="K200" s="78"/>
      <c r="L200" s="79"/>
      <c r="M200" s="77"/>
      <c r="N200" s="80"/>
      <c r="O200" s="77"/>
      <c r="P200" s="77"/>
      <c r="Q200" s="77"/>
      <c r="R200" s="77"/>
      <c r="S200" s="77"/>
      <c r="T200" s="77"/>
      <c r="U200" s="81"/>
      <c r="V200" s="82"/>
      <c r="W200" s="77"/>
      <c r="X200" s="77"/>
      <c r="Y200" s="77"/>
      <c r="Z200" s="77"/>
      <c r="AA200" s="83"/>
      <c r="AB200" s="77" t="str">
        <f t="shared" ref="AB200:AB231" ca="1" si="20">IF(U200="","",IF(AA200="",TODAY()-U200,IF(AA200-U200,AA200-U200,0)))</f>
        <v/>
      </c>
      <c r="AC200" s="84"/>
      <c r="AD200" s="84"/>
      <c r="AE200" s="85"/>
      <c r="AF200" s="84"/>
      <c r="AG200" s="84"/>
      <c r="AH200" s="85"/>
      <c r="AI200" s="85"/>
      <c r="AJ200" s="86">
        <f>IF(OR(Processos!$H200="Alienação",Processos!$H200="Concessão"),"",(N200-AI200)-(AE200+AH200))</f>
        <v>0</v>
      </c>
      <c r="AK200" s="87" t="str">
        <f t="shared" ref="AK200:AK231" si="21">IF(ISERROR((AJ200*100)/N200/100),"",(AJ200*100)/N200/100)</f>
        <v/>
      </c>
      <c r="AL200" s="79"/>
      <c r="AM200" s="88"/>
      <c r="AN200" s="89"/>
      <c r="AO200" s="90" t="str">
        <f>IF(Tabela1[[#This Row],[Data de aprovação]]="","",Tabela1[[#This Row],[Data de aprovação]]-Tabela1[[#This Row],[Data de abertura]])</f>
        <v/>
      </c>
      <c r="AP200" s="91"/>
      <c r="AMG200" s="93"/>
      <c r="AMH200" s="93"/>
      <c r="AMI200" s="93"/>
      <c r="AMJ200" s="93"/>
    </row>
    <row r="201" spans="1:1024" s="92" customFormat="1" ht="15" customHeight="1" x14ac:dyDescent="0.15">
      <c r="A201" s="74"/>
      <c r="B201" s="75">
        <v>196</v>
      </c>
      <c r="C201" s="76"/>
      <c r="D201" s="77"/>
      <c r="E201" s="77"/>
      <c r="F201" s="77"/>
      <c r="G201" s="77"/>
      <c r="H201" s="77"/>
      <c r="I201" s="77"/>
      <c r="J201" s="77"/>
      <c r="K201" s="78"/>
      <c r="L201" s="79"/>
      <c r="M201" s="77"/>
      <c r="N201" s="80"/>
      <c r="O201" s="77"/>
      <c r="P201" s="77"/>
      <c r="Q201" s="77"/>
      <c r="R201" s="77"/>
      <c r="S201" s="77"/>
      <c r="T201" s="77"/>
      <c r="U201" s="81"/>
      <c r="V201" s="82"/>
      <c r="W201" s="77"/>
      <c r="X201" s="77"/>
      <c r="Y201" s="77"/>
      <c r="Z201" s="77"/>
      <c r="AA201" s="83"/>
      <c r="AB201" s="77" t="str">
        <f t="shared" ca="1" si="20"/>
        <v/>
      </c>
      <c r="AC201" s="84"/>
      <c r="AD201" s="84"/>
      <c r="AE201" s="85"/>
      <c r="AF201" s="84"/>
      <c r="AG201" s="84"/>
      <c r="AH201" s="85"/>
      <c r="AI201" s="85"/>
      <c r="AJ201" s="86">
        <f>IF(OR(Processos!$H201="Alienação",Processos!$H201="Concessão"),"",(N201-AI201)-(AE201+AH201))</f>
        <v>0</v>
      </c>
      <c r="AK201" s="87" t="str">
        <f t="shared" si="21"/>
        <v/>
      </c>
      <c r="AL201" s="79"/>
      <c r="AM201" s="88"/>
      <c r="AN201" s="89"/>
      <c r="AO201" s="90" t="str">
        <f>IF(Tabela1[[#This Row],[Data de aprovação]]="","",Tabela1[[#This Row],[Data de aprovação]]-Tabela1[[#This Row],[Data de abertura]])</f>
        <v/>
      </c>
      <c r="AP201" s="91"/>
      <c r="AMG201" s="93"/>
      <c r="AMH201" s="93"/>
      <c r="AMI201" s="93"/>
      <c r="AMJ201" s="93"/>
    </row>
    <row r="202" spans="1:1024" s="92" customFormat="1" ht="15" customHeight="1" x14ac:dyDescent="0.15">
      <c r="A202" s="74"/>
      <c r="B202" s="75">
        <v>197</v>
      </c>
      <c r="C202" s="76"/>
      <c r="D202" s="77"/>
      <c r="E202" s="77"/>
      <c r="F202" s="77"/>
      <c r="G202" s="77"/>
      <c r="H202" s="77"/>
      <c r="I202" s="77"/>
      <c r="J202" s="77"/>
      <c r="K202" s="78"/>
      <c r="L202" s="79"/>
      <c r="M202" s="77"/>
      <c r="N202" s="80"/>
      <c r="O202" s="77"/>
      <c r="P202" s="77"/>
      <c r="Q202" s="77"/>
      <c r="R202" s="77"/>
      <c r="S202" s="77"/>
      <c r="T202" s="77"/>
      <c r="U202" s="81"/>
      <c r="V202" s="82"/>
      <c r="W202" s="77"/>
      <c r="X202" s="77"/>
      <c r="Y202" s="77"/>
      <c r="Z202" s="77"/>
      <c r="AA202" s="83"/>
      <c r="AB202" s="77" t="str">
        <f t="shared" ca="1" si="20"/>
        <v/>
      </c>
      <c r="AC202" s="84"/>
      <c r="AD202" s="84"/>
      <c r="AE202" s="85"/>
      <c r="AF202" s="84"/>
      <c r="AG202" s="84"/>
      <c r="AH202" s="85"/>
      <c r="AI202" s="85"/>
      <c r="AJ202" s="86">
        <f>IF(OR(Processos!$H202="Alienação",Processos!$H202="Concessão"),"",(N202-AI202)-(AE202+AH202))</f>
        <v>0</v>
      </c>
      <c r="AK202" s="87" t="str">
        <f t="shared" si="21"/>
        <v/>
      </c>
      <c r="AL202" s="79"/>
      <c r="AM202" s="88"/>
      <c r="AN202" s="89"/>
      <c r="AO202" s="90" t="str">
        <f>IF(Tabela1[[#This Row],[Data de aprovação]]="","",Tabela1[[#This Row],[Data de aprovação]]-Tabela1[[#This Row],[Data de abertura]])</f>
        <v/>
      </c>
      <c r="AP202" s="91"/>
      <c r="AMG202" s="93"/>
      <c r="AMH202" s="93"/>
      <c r="AMI202" s="93"/>
      <c r="AMJ202" s="93"/>
    </row>
    <row r="203" spans="1:1024" s="92" customFormat="1" ht="15" customHeight="1" x14ac:dyDescent="0.15">
      <c r="A203" s="74"/>
      <c r="B203" s="75">
        <v>198</v>
      </c>
      <c r="C203" s="76"/>
      <c r="D203" s="77"/>
      <c r="E203" s="77"/>
      <c r="F203" s="77"/>
      <c r="G203" s="77"/>
      <c r="H203" s="77"/>
      <c r="I203" s="77"/>
      <c r="J203" s="77"/>
      <c r="K203" s="78"/>
      <c r="L203" s="79"/>
      <c r="M203" s="77"/>
      <c r="N203" s="80"/>
      <c r="O203" s="77"/>
      <c r="P203" s="77"/>
      <c r="Q203" s="77"/>
      <c r="R203" s="77"/>
      <c r="S203" s="77"/>
      <c r="T203" s="77"/>
      <c r="U203" s="81"/>
      <c r="V203" s="82"/>
      <c r="W203" s="77"/>
      <c r="X203" s="77"/>
      <c r="Y203" s="77"/>
      <c r="Z203" s="77"/>
      <c r="AA203" s="83"/>
      <c r="AB203" s="77" t="str">
        <f t="shared" ca="1" si="20"/>
        <v/>
      </c>
      <c r="AC203" s="84"/>
      <c r="AD203" s="84"/>
      <c r="AE203" s="85"/>
      <c r="AF203" s="84"/>
      <c r="AG203" s="84"/>
      <c r="AH203" s="85"/>
      <c r="AI203" s="85"/>
      <c r="AJ203" s="86">
        <f>IF(OR(Processos!$H203="Alienação",Processos!$H203="Concessão"),"",(N203-AI203)-(AE203+AH203))</f>
        <v>0</v>
      </c>
      <c r="AK203" s="87" t="str">
        <f t="shared" si="21"/>
        <v/>
      </c>
      <c r="AL203" s="79"/>
      <c r="AM203" s="88"/>
      <c r="AN203" s="89"/>
      <c r="AO203" s="90" t="str">
        <f>IF(Tabela1[[#This Row],[Data de aprovação]]="","",Tabela1[[#This Row],[Data de aprovação]]-Tabela1[[#This Row],[Data de abertura]])</f>
        <v/>
      </c>
      <c r="AP203" s="91"/>
      <c r="AMG203" s="93"/>
      <c r="AMH203" s="93"/>
      <c r="AMI203" s="93"/>
      <c r="AMJ203" s="93"/>
    </row>
    <row r="204" spans="1:1024" s="92" customFormat="1" ht="15" customHeight="1" x14ac:dyDescent="0.15">
      <c r="A204" s="74"/>
      <c r="B204" s="75">
        <v>199</v>
      </c>
      <c r="C204" s="76"/>
      <c r="D204" s="77"/>
      <c r="E204" s="77"/>
      <c r="F204" s="77"/>
      <c r="G204" s="77"/>
      <c r="H204" s="77"/>
      <c r="I204" s="77"/>
      <c r="J204" s="77"/>
      <c r="K204" s="78"/>
      <c r="L204" s="79"/>
      <c r="M204" s="77"/>
      <c r="N204" s="80"/>
      <c r="O204" s="77"/>
      <c r="P204" s="77"/>
      <c r="Q204" s="77"/>
      <c r="R204" s="77"/>
      <c r="S204" s="77"/>
      <c r="T204" s="77"/>
      <c r="U204" s="81"/>
      <c r="V204" s="82"/>
      <c r="W204" s="77"/>
      <c r="X204" s="77"/>
      <c r="Y204" s="77"/>
      <c r="Z204" s="77"/>
      <c r="AA204" s="83"/>
      <c r="AB204" s="77" t="str">
        <f t="shared" ca="1" si="20"/>
        <v/>
      </c>
      <c r="AC204" s="84"/>
      <c r="AD204" s="84"/>
      <c r="AE204" s="85"/>
      <c r="AF204" s="84"/>
      <c r="AG204" s="84"/>
      <c r="AH204" s="85"/>
      <c r="AI204" s="85"/>
      <c r="AJ204" s="86">
        <f>IF(OR(Processos!$H204="Alienação",Processos!$H204="Concessão"),"",(N204-AI204)-(AE204+AH204))</f>
        <v>0</v>
      </c>
      <c r="AK204" s="87" t="str">
        <f t="shared" si="21"/>
        <v/>
      </c>
      <c r="AL204" s="79"/>
      <c r="AM204" s="88"/>
      <c r="AN204" s="89"/>
      <c r="AO204" s="90" t="str">
        <f>IF(Tabela1[[#This Row],[Data de aprovação]]="","",Tabela1[[#This Row],[Data de aprovação]]-Tabela1[[#This Row],[Data de abertura]])</f>
        <v/>
      </c>
      <c r="AP204" s="91"/>
      <c r="AMG204" s="93"/>
      <c r="AMH204" s="93"/>
      <c r="AMI204" s="93"/>
      <c r="AMJ204" s="93"/>
    </row>
    <row r="205" spans="1:1024" s="92" customFormat="1" ht="15" customHeight="1" x14ac:dyDescent="0.15">
      <c r="A205" s="74"/>
      <c r="B205" s="75">
        <v>200</v>
      </c>
      <c r="C205" s="76"/>
      <c r="D205" s="77"/>
      <c r="E205" s="77"/>
      <c r="F205" s="77"/>
      <c r="G205" s="77"/>
      <c r="H205" s="77"/>
      <c r="I205" s="77"/>
      <c r="J205" s="77"/>
      <c r="K205" s="78"/>
      <c r="L205" s="79"/>
      <c r="M205" s="77"/>
      <c r="N205" s="80"/>
      <c r="O205" s="77"/>
      <c r="P205" s="77"/>
      <c r="Q205" s="77"/>
      <c r="R205" s="77"/>
      <c r="S205" s="77"/>
      <c r="T205" s="77"/>
      <c r="U205" s="81"/>
      <c r="V205" s="82"/>
      <c r="W205" s="77"/>
      <c r="X205" s="77"/>
      <c r="Y205" s="77"/>
      <c r="Z205" s="77"/>
      <c r="AA205" s="83"/>
      <c r="AB205" s="77" t="str">
        <f t="shared" ca="1" si="20"/>
        <v/>
      </c>
      <c r="AC205" s="84"/>
      <c r="AD205" s="84"/>
      <c r="AE205" s="85"/>
      <c r="AF205" s="84"/>
      <c r="AG205" s="84"/>
      <c r="AH205" s="85"/>
      <c r="AI205" s="85"/>
      <c r="AJ205" s="86">
        <f>IF(OR(Processos!$H205="Alienação",Processos!$H205="Concessão"),"",(N205-AI205)-(AE205+AH205))</f>
        <v>0</v>
      </c>
      <c r="AK205" s="87" t="str">
        <f t="shared" si="21"/>
        <v/>
      </c>
      <c r="AL205" s="79"/>
      <c r="AM205" s="88"/>
      <c r="AN205" s="89"/>
      <c r="AO205" s="90" t="str">
        <f>IF(Tabela1[[#This Row],[Data de aprovação]]="","",Tabela1[[#This Row],[Data de aprovação]]-Tabela1[[#This Row],[Data de abertura]])</f>
        <v/>
      </c>
      <c r="AP205" s="91"/>
      <c r="AMG205" s="93"/>
      <c r="AMH205" s="93"/>
      <c r="AMI205" s="93"/>
      <c r="AMJ205" s="93"/>
    </row>
    <row r="206" spans="1:1024" s="92" customFormat="1" ht="15" customHeight="1" x14ac:dyDescent="0.15">
      <c r="A206" s="74"/>
      <c r="B206" s="75">
        <v>201</v>
      </c>
      <c r="C206" s="76"/>
      <c r="D206" s="77"/>
      <c r="E206" s="77"/>
      <c r="F206" s="77"/>
      <c r="G206" s="77"/>
      <c r="H206" s="77"/>
      <c r="I206" s="77"/>
      <c r="J206" s="77"/>
      <c r="K206" s="78"/>
      <c r="L206" s="79"/>
      <c r="M206" s="77"/>
      <c r="N206" s="80"/>
      <c r="O206" s="77"/>
      <c r="P206" s="77"/>
      <c r="Q206" s="77"/>
      <c r="R206" s="77"/>
      <c r="S206" s="77"/>
      <c r="T206" s="77"/>
      <c r="U206" s="81"/>
      <c r="V206" s="82"/>
      <c r="W206" s="77"/>
      <c r="X206" s="77"/>
      <c r="Y206" s="77"/>
      <c r="Z206" s="77"/>
      <c r="AA206" s="83"/>
      <c r="AB206" s="77" t="str">
        <f t="shared" ca="1" si="20"/>
        <v/>
      </c>
      <c r="AC206" s="84"/>
      <c r="AD206" s="84"/>
      <c r="AE206" s="85"/>
      <c r="AF206" s="84"/>
      <c r="AG206" s="84"/>
      <c r="AH206" s="85"/>
      <c r="AI206" s="85"/>
      <c r="AJ206" s="86">
        <f>IF(OR(Processos!$H206="Alienação",Processos!$H206="Concessão"),"",(N206-AI206)-(AE206+AH206))</f>
        <v>0</v>
      </c>
      <c r="AK206" s="87" t="str">
        <f t="shared" si="21"/>
        <v/>
      </c>
      <c r="AL206" s="79"/>
      <c r="AM206" s="88"/>
      <c r="AN206" s="89"/>
      <c r="AO206" s="90" t="str">
        <f>IF(Tabela1[[#This Row],[Data de aprovação]]="","",Tabela1[[#This Row],[Data de aprovação]]-Tabela1[[#This Row],[Data de abertura]])</f>
        <v/>
      </c>
      <c r="AP206" s="91"/>
      <c r="AMG206" s="93"/>
      <c r="AMH206" s="93"/>
      <c r="AMI206" s="93"/>
      <c r="AMJ206" s="93"/>
    </row>
    <row r="207" spans="1:1024" s="92" customFormat="1" ht="15" customHeight="1" x14ac:dyDescent="0.15">
      <c r="A207" s="74"/>
      <c r="B207" s="75">
        <v>202</v>
      </c>
      <c r="C207" s="76"/>
      <c r="D207" s="77"/>
      <c r="E207" s="77"/>
      <c r="F207" s="77"/>
      <c r="G207" s="77"/>
      <c r="H207" s="77"/>
      <c r="I207" s="77"/>
      <c r="J207" s="77"/>
      <c r="K207" s="78"/>
      <c r="L207" s="79"/>
      <c r="M207" s="77"/>
      <c r="N207" s="80"/>
      <c r="O207" s="77"/>
      <c r="P207" s="77"/>
      <c r="Q207" s="77"/>
      <c r="R207" s="77"/>
      <c r="S207" s="77"/>
      <c r="T207" s="77"/>
      <c r="U207" s="81"/>
      <c r="V207" s="82"/>
      <c r="W207" s="77"/>
      <c r="X207" s="77"/>
      <c r="Y207" s="77"/>
      <c r="Z207" s="77"/>
      <c r="AA207" s="83"/>
      <c r="AB207" s="77" t="str">
        <f t="shared" ca="1" si="20"/>
        <v/>
      </c>
      <c r="AC207" s="84"/>
      <c r="AD207" s="84"/>
      <c r="AE207" s="85"/>
      <c r="AF207" s="84"/>
      <c r="AG207" s="84"/>
      <c r="AH207" s="85"/>
      <c r="AI207" s="85"/>
      <c r="AJ207" s="86">
        <f>IF(OR(Processos!$H207="Alienação",Processos!$H207="Concessão"),"",(N207-AI207)-(AE207+AH207))</f>
        <v>0</v>
      </c>
      <c r="AK207" s="87" t="str">
        <f t="shared" si="21"/>
        <v/>
      </c>
      <c r="AL207" s="79"/>
      <c r="AM207" s="88"/>
      <c r="AN207" s="89"/>
      <c r="AO207" s="90" t="str">
        <f>IF(Tabela1[[#This Row],[Data de aprovação]]="","",Tabela1[[#This Row],[Data de aprovação]]-Tabela1[[#This Row],[Data de abertura]])</f>
        <v/>
      </c>
      <c r="AP207" s="91"/>
      <c r="AMG207" s="93"/>
      <c r="AMH207" s="93"/>
      <c r="AMI207" s="93"/>
      <c r="AMJ207" s="93"/>
    </row>
    <row r="208" spans="1:1024" s="92" customFormat="1" ht="15" customHeight="1" x14ac:dyDescent="0.15">
      <c r="A208" s="74"/>
      <c r="B208" s="75">
        <v>203</v>
      </c>
      <c r="C208" s="76"/>
      <c r="D208" s="77"/>
      <c r="E208" s="77"/>
      <c r="F208" s="77"/>
      <c r="G208" s="77"/>
      <c r="H208" s="77"/>
      <c r="I208" s="77"/>
      <c r="J208" s="77"/>
      <c r="K208" s="78"/>
      <c r="L208" s="79"/>
      <c r="M208" s="77"/>
      <c r="N208" s="80"/>
      <c r="O208" s="77"/>
      <c r="P208" s="77"/>
      <c r="Q208" s="77"/>
      <c r="R208" s="77"/>
      <c r="S208" s="77"/>
      <c r="T208" s="77"/>
      <c r="U208" s="81"/>
      <c r="V208" s="82"/>
      <c r="W208" s="77"/>
      <c r="X208" s="77"/>
      <c r="Y208" s="77"/>
      <c r="Z208" s="77"/>
      <c r="AA208" s="83"/>
      <c r="AB208" s="77" t="str">
        <f t="shared" ca="1" si="20"/>
        <v/>
      </c>
      <c r="AC208" s="84"/>
      <c r="AD208" s="84"/>
      <c r="AE208" s="85"/>
      <c r="AF208" s="84"/>
      <c r="AG208" s="84"/>
      <c r="AH208" s="85"/>
      <c r="AI208" s="85"/>
      <c r="AJ208" s="86">
        <f>IF(OR(Processos!$H208="Alienação",Processos!$H208="Concessão"),"",(N208-AI208)-(AE208+AH208))</f>
        <v>0</v>
      </c>
      <c r="AK208" s="87" t="str">
        <f t="shared" si="21"/>
        <v/>
      </c>
      <c r="AL208" s="79"/>
      <c r="AM208" s="88"/>
      <c r="AN208" s="89"/>
      <c r="AO208" s="90" t="str">
        <f>IF(Tabela1[[#This Row],[Data de aprovação]]="","",Tabela1[[#This Row],[Data de aprovação]]-Tabela1[[#This Row],[Data de abertura]])</f>
        <v/>
      </c>
      <c r="AP208" s="91"/>
      <c r="AMG208" s="93"/>
      <c r="AMH208" s="93"/>
      <c r="AMI208" s="93"/>
      <c r="AMJ208" s="93"/>
    </row>
    <row r="209" spans="1:1024" s="92" customFormat="1" ht="15" customHeight="1" x14ac:dyDescent="0.15">
      <c r="A209" s="74"/>
      <c r="B209" s="75">
        <v>204</v>
      </c>
      <c r="C209" s="76"/>
      <c r="D209" s="77"/>
      <c r="E209" s="77"/>
      <c r="F209" s="77"/>
      <c r="G209" s="77"/>
      <c r="H209" s="77"/>
      <c r="I209" s="77"/>
      <c r="J209" s="77"/>
      <c r="K209" s="78"/>
      <c r="L209" s="79"/>
      <c r="M209" s="77"/>
      <c r="N209" s="80"/>
      <c r="O209" s="77"/>
      <c r="P209" s="77"/>
      <c r="Q209" s="77"/>
      <c r="R209" s="77"/>
      <c r="S209" s="77"/>
      <c r="T209" s="77"/>
      <c r="U209" s="81"/>
      <c r="V209" s="82"/>
      <c r="W209" s="77"/>
      <c r="X209" s="77"/>
      <c r="Y209" s="77"/>
      <c r="Z209" s="77"/>
      <c r="AA209" s="83"/>
      <c r="AB209" s="77" t="str">
        <f t="shared" ca="1" si="20"/>
        <v/>
      </c>
      <c r="AC209" s="84"/>
      <c r="AD209" s="84"/>
      <c r="AE209" s="85"/>
      <c r="AF209" s="84"/>
      <c r="AG209" s="84"/>
      <c r="AH209" s="85"/>
      <c r="AI209" s="85"/>
      <c r="AJ209" s="86">
        <f>IF(OR(Processos!$H209="Alienação",Processos!$H209="Concessão"),"",(N209-AI209)-(AE209+AH209))</f>
        <v>0</v>
      </c>
      <c r="AK209" s="87" t="str">
        <f t="shared" si="21"/>
        <v/>
      </c>
      <c r="AL209" s="79"/>
      <c r="AM209" s="88"/>
      <c r="AN209" s="89"/>
      <c r="AO209" s="90" t="str">
        <f>IF(Tabela1[[#This Row],[Data de aprovação]]="","",Tabela1[[#This Row],[Data de aprovação]]-Tabela1[[#This Row],[Data de abertura]])</f>
        <v/>
      </c>
      <c r="AP209" s="91"/>
      <c r="AMG209" s="93"/>
      <c r="AMH209" s="93"/>
      <c r="AMI209" s="93"/>
      <c r="AMJ209" s="93"/>
    </row>
    <row r="210" spans="1:1024" s="92" customFormat="1" ht="15" customHeight="1" x14ac:dyDescent="0.15">
      <c r="A210" s="74"/>
      <c r="B210" s="75">
        <v>205</v>
      </c>
      <c r="C210" s="76"/>
      <c r="D210" s="77"/>
      <c r="E210" s="77"/>
      <c r="F210" s="77"/>
      <c r="G210" s="77"/>
      <c r="H210" s="77"/>
      <c r="I210" s="77"/>
      <c r="J210" s="77"/>
      <c r="K210" s="78"/>
      <c r="L210" s="79"/>
      <c r="M210" s="77"/>
      <c r="N210" s="80"/>
      <c r="O210" s="77"/>
      <c r="P210" s="77"/>
      <c r="Q210" s="77"/>
      <c r="R210" s="77"/>
      <c r="S210" s="77"/>
      <c r="T210" s="77"/>
      <c r="U210" s="81"/>
      <c r="V210" s="82"/>
      <c r="W210" s="77"/>
      <c r="X210" s="77"/>
      <c r="Y210" s="77"/>
      <c r="Z210" s="77"/>
      <c r="AA210" s="83"/>
      <c r="AB210" s="77" t="str">
        <f t="shared" ca="1" si="20"/>
        <v/>
      </c>
      <c r="AC210" s="84"/>
      <c r="AD210" s="84"/>
      <c r="AE210" s="85"/>
      <c r="AF210" s="84"/>
      <c r="AG210" s="84"/>
      <c r="AH210" s="85"/>
      <c r="AI210" s="85"/>
      <c r="AJ210" s="86">
        <f>IF(OR(Processos!$H210="Alienação",Processos!$H210="Concessão"),"",(N210-AI210)-(AE210+AH210))</f>
        <v>0</v>
      </c>
      <c r="AK210" s="87" t="str">
        <f t="shared" si="21"/>
        <v/>
      </c>
      <c r="AL210" s="79"/>
      <c r="AM210" s="88"/>
      <c r="AN210" s="89"/>
      <c r="AO210" s="90" t="str">
        <f>IF(Tabela1[[#This Row],[Data de aprovação]]="","",Tabela1[[#This Row],[Data de aprovação]]-Tabela1[[#This Row],[Data de abertura]])</f>
        <v/>
      </c>
      <c r="AP210" s="91"/>
      <c r="AMG210" s="93"/>
      <c r="AMH210" s="93"/>
      <c r="AMI210" s="93"/>
      <c r="AMJ210" s="93"/>
    </row>
    <row r="211" spans="1:1024" s="92" customFormat="1" ht="15" customHeight="1" x14ac:dyDescent="0.15">
      <c r="A211" s="74"/>
      <c r="B211" s="75">
        <v>206</v>
      </c>
      <c r="C211" s="76"/>
      <c r="D211" s="77"/>
      <c r="E211" s="77"/>
      <c r="F211" s="77"/>
      <c r="G211" s="77"/>
      <c r="H211" s="77"/>
      <c r="I211" s="77"/>
      <c r="J211" s="77"/>
      <c r="K211" s="78"/>
      <c r="L211" s="79"/>
      <c r="M211" s="77"/>
      <c r="N211" s="80"/>
      <c r="O211" s="77"/>
      <c r="P211" s="77"/>
      <c r="Q211" s="77"/>
      <c r="R211" s="77"/>
      <c r="S211" s="77"/>
      <c r="T211" s="77"/>
      <c r="U211" s="81"/>
      <c r="V211" s="82"/>
      <c r="W211" s="77"/>
      <c r="X211" s="77"/>
      <c r="Y211" s="77"/>
      <c r="Z211" s="77"/>
      <c r="AA211" s="83"/>
      <c r="AB211" s="77" t="str">
        <f t="shared" ca="1" si="20"/>
        <v/>
      </c>
      <c r="AC211" s="84"/>
      <c r="AD211" s="84"/>
      <c r="AE211" s="85"/>
      <c r="AF211" s="84"/>
      <c r="AG211" s="84"/>
      <c r="AH211" s="85"/>
      <c r="AI211" s="85"/>
      <c r="AJ211" s="86">
        <f>IF(OR(Processos!$H211="Alienação",Processos!$H211="Concessão"),"",(N211-AI211)-(AE211+AH211))</f>
        <v>0</v>
      </c>
      <c r="AK211" s="87" t="str">
        <f t="shared" si="21"/>
        <v/>
      </c>
      <c r="AL211" s="79"/>
      <c r="AM211" s="88"/>
      <c r="AN211" s="89"/>
      <c r="AO211" s="90" t="str">
        <f>IF(Tabela1[[#This Row],[Data de aprovação]]="","",Tabela1[[#This Row],[Data de aprovação]]-Tabela1[[#This Row],[Data de abertura]])</f>
        <v/>
      </c>
      <c r="AP211" s="91"/>
      <c r="AMG211" s="93"/>
      <c r="AMH211" s="93"/>
      <c r="AMI211" s="93"/>
      <c r="AMJ211" s="93"/>
    </row>
    <row r="212" spans="1:1024" s="92" customFormat="1" ht="15" customHeight="1" x14ac:dyDescent="0.15">
      <c r="A212" s="74"/>
      <c r="B212" s="75">
        <v>207</v>
      </c>
      <c r="C212" s="76"/>
      <c r="D212" s="77"/>
      <c r="E212" s="77"/>
      <c r="F212" s="77"/>
      <c r="G212" s="77"/>
      <c r="H212" s="77"/>
      <c r="I212" s="77"/>
      <c r="J212" s="77"/>
      <c r="K212" s="78"/>
      <c r="L212" s="79"/>
      <c r="M212" s="77"/>
      <c r="N212" s="80"/>
      <c r="O212" s="77"/>
      <c r="P212" s="77"/>
      <c r="Q212" s="77"/>
      <c r="R212" s="77"/>
      <c r="S212" s="77"/>
      <c r="T212" s="77"/>
      <c r="U212" s="81"/>
      <c r="V212" s="82"/>
      <c r="W212" s="77"/>
      <c r="X212" s="77"/>
      <c r="Y212" s="77"/>
      <c r="Z212" s="77"/>
      <c r="AA212" s="83"/>
      <c r="AB212" s="77" t="str">
        <f t="shared" ca="1" si="20"/>
        <v/>
      </c>
      <c r="AC212" s="84"/>
      <c r="AD212" s="84"/>
      <c r="AE212" s="85"/>
      <c r="AF212" s="84"/>
      <c r="AG212" s="84"/>
      <c r="AH212" s="85"/>
      <c r="AI212" s="85"/>
      <c r="AJ212" s="86">
        <f>IF(OR(Processos!$H212="Alienação",Processos!$H212="Concessão"),"",(N212-AI212)-(AE212+AH212))</f>
        <v>0</v>
      </c>
      <c r="AK212" s="87" t="str">
        <f t="shared" si="21"/>
        <v/>
      </c>
      <c r="AL212" s="79"/>
      <c r="AM212" s="88"/>
      <c r="AN212" s="89"/>
      <c r="AO212" s="90" t="str">
        <f>IF(Tabela1[[#This Row],[Data de aprovação]]="","",Tabela1[[#This Row],[Data de aprovação]]-Tabela1[[#This Row],[Data de abertura]])</f>
        <v/>
      </c>
      <c r="AP212" s="91"/>
      <c r="AMG212" s="93"/>
      <c r="AMH212" s="93"/>
      <c r="AMI212" s="93"/>
      <c r="AMJ212" s="93"/>
    </row>
    <row r="213" spans="1:1024" s="92" customFormat="1" ht="15" customHeight="1" x14ac:dyDescent="0.15">
      <c r="A213" s="74"/>
      <c r="B213" s="75">
        <v>208</v>
      </c>
      <c r="C213" s="76"/>
      <c r="D213" s="77"/>
      <c r="E213" s="77"/>
      <c r="F213" s="77"/>
      <c r="G213" s="77"/>
      <c r="H213" s="77"/>
      <c r="I213" s="77"/>
      <c r="J213" s="77"/>
      <c r="K213" s="78"/>
      <c r="L213" s="79"/>
      <c r="M213" s="77"/>
      <c r="N213" s="80"/>
      <c r="O213" s="77"/>
      <c r="P213" s="77"/>
      <c r="Q213" s="77"/>
      <c r="R213" s="77"/>
      <c r="S213" s="77"/>
      <c r="T213" s="77"/>
      <c r="U213" s="81"/>
      <c r="V213" s="82"/>
      <c r="W213" s="77"/>
      <c r="X213" s="77"/>
      <c r="Y213" s="77"/>
      <c r="Z213" s="77"/>
      <c r="AA213" s="83"/>
      <c r="AB213" s="77" t="str">
        <f t="shared" ca="1" si="20"/>
        <v/>
      </c>
      <c r="AC213" s="84"/>
      <c r="AD213" s="84"/>
      <c r="AE213" s="85"/>
      <c r="AF213" s="84"/>
      <c r="AG213" s="84"/>
      <c r="AH213" s="85"/>
      <c r="AI213" s="85"/>
      <c r="AJ213" s="86">
        <f>IF(OR(Processos!$H213="Alienação",Processos!$H213="Concessão"),"",(N213-AI213)-(AE213+AH213))</f>
        <v>0</v>
      </c>
      <c r="AK213" s="87" t="str">
        <f t="shared" si="21"/>
        <v/>
      </c>
      <c r="AL213" s="79"/>
      <c r="AM213" s="88"/>
      <c r="AN213" s="89"/>
      <c r="AO213" s="90" t="str">
        <f>IF(Tabela1[[#This Row],[Data de aprovação]]="","",Tabela1[[#This Row],[Data de aprovação]]-Tabela1[[#This Row],[Data de abertura]])</f>
        <v/>
      </c>
      <c r="AP213" s="91"/>
      <c r="AMG213" s="93"/>
      <c r="AMH213" s="93"/>
      <c r="AMI213" s="93"/>
      <c r="AMJ213" s="93"/>
    </row>
    <row r="214" spans="1:1024" s="92" customFormat="1" ht="15" customHeight="1" x14ac:dyDescent="0.15">
      <c r="A214" s="74"/>
      <c r="B214" s="75">
        <v>209</v>
      </c>
      <c r="C214" s="76"/>
      <c r="D214" s="77"/>
      <c r="E214" s="77"/>
      <c r="F214" s="77"/>
      <c r="G214" s="77"/>
      <c r="H214" s="77"/>
      <c r="I214" s="77"/>
      <c r="J214" s="77"/>
      <c r="K214" s="78"/>
      <c r="L214" s="79"/>
      <c r="M214" s="77"/>
      <c r="N214" s="80"/>
      <c r="O214" s="77"/>
      <c r="P214" s="77"/>
      <c r="Q214" s="77"/>
      <c r="R214" s="77"/>
      <c r="S214" s="77"/>
      <c r="T214" s="77"/>
      <c r="U214" s="81"/>
      <c r="V214" s="82"/>
      <c r="W214" s="77"/>
      <c r="X214" s="77"/>
      <c r="Y214" s="77"/>
      <c r="Z214" s="77"/>
      <c r="AA214" s="83"/>
      <c r="AB214" s="77" t="str">
        <f t="shared" ca="1" si="20"/>
        <v/>
      </c>
      <c r="AC214" s="84"/>
      <c r="AD214" s="84"/>
      <c r="AE214" s="85"/>
      <c r="AF214" s="84"/>
      <c r="AG214" s="84"/>
      <c r="AH214" s="85"/>
      <c r="AI214" s="85"/>
      <c r="AJ214" s="86">
        <f>IF(OR(Processos!$H214="Alienação",Processos!$H214="Concessão"),"",(N214-AI214)-(AE214+AH214))</f>
        <v>0</v>
      </c>
      <c r="AK214" s="87" t="str">
        <f t="shared" si="21"/>
        <v/>
      </c>
      <c r="AL214" s="79"/>
      <c r="AM214" s="88"/>
      <c r="AN214" s="89"/>
      <c r="AO214" s="90" t="str">
        <f>IF(Tabela1[[#This Row],[Data de aprovação]]="","",Tabela1[[#This Row],[Data de aprovação]]-Tabela1[[#This Row],[Data de abertura]])</f>
        <v/>
      </c>
      <c r="AP214" s="91"/>
      <c r="AMG214" s="93"/>
      <c r="AMH214" s="93"/>
      <c r="AMI214" s="93"/>
      <c r="AMJ214" s="93"/>
    </row>
    <row r="215" spans="1:1024" s="92" customFormat="1" ht="15" customHeight="1" x14ac:dyDescent="0.15">
      <c r="A215" s="74"/>
      <c r="B215" s="75">
        <v>210</v>
      </c>
      <c r="C215" s="76"/>
      <c r="D215" s="77"/>
      <c r="E215" s="77"/>
      <c r="F215" s="77"/>
      <c r="G215" s="77"/>
      <c r="H215" s="77"/>
      <c r="I215" s="77"/>
      <c r="J215" s="77"/>
      <c r="K215" s="78"/>
      <c r="L215" s="79"/>
      <c r="M215" s="77"/>
      <c r="N215" s="80"/>
      <c r="O215" s="77"/>
      <c r="P215" s="77"/>
      <c r="Q215" s="77"/>
      <c r="R215" s="77"/>
      <c r="S215" s="77"/>
      <c r="T215" s="77"/>
      <c r="U215" s="81"/>
      <c r="V215" s="82"/>
      <c r="W215" s="77"/>
      <c r="X215" s="77"/>
      <c r="Y215" s="77"/>
      <c r="Z215" s="77"/>
      <c r="AA215" s="83"/>
      <c r="AB215" s="77" t="str">
        <f t="shared" ca="1" si="20"/>
        <v/>
      </c>
      <c r="AC215" s="84"/>
      <c r="AD215" s="84"/>
      <c r="AE215" s="85"/>
      <c r="AF215" s="84"/>
      <c r="AG215" s="84"/>
      <c r="AH215" s="85"/>
      <c r="AI215" s="85"/>
      <c r="AJ215" s="86">
        <f>IF(OR(Processos!$H215="Alienação",Processos!$H215="Concessão"),"",(N215-AI215)-(AE215+AH215))</f>
        <v>0</v>
      </c>
      <c r="AK215" s="87" t="str">
        <f t="shared" si="21"/>
        <v/>
      </c>
      <c r="AL215" s="79"/>
      <c r="AM215" s="88"/>
      <c r="AN215" s="89"/>
      <c r="AO215" s="90" t="str">
        <f>IF(Tabela1[[#This Row],[Data de aprovação]]="","",Tabela1[[#This Row],[Data de aprovação]]-Tabela1[[#This Row],[Data de abertura]])</f>
        <v/>
      </c>
      <c r="AP215" s="91"/>
      <c r="AMG215" s="93"/>
      <c r="AMH215" s="93"/>
      <c r="AMI215" s="93"/>
      <c r="AMJ215" s="93"/>
    </row>
    <row r="216" spans="1:1024" s="92" customFormat="1" ht="15" customHeight="1" x14ac:dyDescent="0.15">
      <c r="A216" s="74"/>
      <c r="B216" s="75">
        <v>211</v>
      </c>
      <c r="C216" s="76"/>
      <c r="D216" s="77"/>
      <c r="E216" s="77"/>
      <c r="F216" s="77"/>
      <c r="G216" s="77"/>
      <c r="H216" s="77"/>
      <c r="I216" s="77"/>
      <c r="J216" s="77"/>
      <c r="K216" s="78"/>
      <c r="L216" s="79"/>
      <c r="M216" s="77"/>
      <c r="N216" s="80"/>
      <c r="O216" s="77"/>
      <c r="P216" s="77"/>
      <c r="Q216" s="77"/>
      <c r="R216" s="77"/>
      <c r="S216" s="77"/>
      <c r="T216" s="77"/>
      <c r="U216" s="81"/>
      <c r="V216" s="82"/>
      <c r="W216" s="77"/>
      <c r="X216" s="77"/>
      <c r="Y216" s="77"/>
      <c r="Z216" s="77"/>
      <c r="AA216" s="83"/>
      <c r="AB216" s="77" t="str">
        <f t="shared" ca="1" si="20"/>
        <v/>
      </c>
      <c r="AC216" s="84"/>
      <c r="AD216" s="84"/>
      <c r="AE216" s="85"/>
      <c r="AF216" s="84"/>
      <c r="AG216" s="84"/>
      <c r="AH216" s="85"/>
      <c r="AI216" s="85"/>
      <c r="AJ216" s="86">
        <f>IF(OR(Processos!$H216="Alienação",Processos!$H216="Concessão"),"",(N216-AI216)-(AE216+AH216))</f>
        <v>0</v>
      </c>
      <c r="AK216" s="87" t="str">
        <f t="shared" si="21"/>
        <v/>
      </c>
      <c r="AL216" s="79"/>
      <c r="AM216" s="88"/>
      <c r="AN216" s="89"/>
      <c r="AO216" s="90" t="str">
        <f>IF(Tabela1[[#This Row],[Data de aprovação]]="","",Tabela1[[#This Row],[Data de aprovação]]-Tabela1[[#This Row],[Data de abertura]])</f>
        <v/>
      </c>
      <c r="AP216" s="91"/>
      <c r="AMG216" s="93"/>
      <c r="AMH216" s="93"/>
      <c r="AMI216" s="93"/>
      <c r="AMJ216" s="93"/>
    </row>
    <row r="217" spans="1:1024" s="92" customFormat="1" ht="15" customHeight="1" x14ac:dyDescent="0.15">
      <c r="A217" s="74"/>
      <c r="B217" s="75">
        <v>212</v>
      </c>
      <c r="C217" s="76"/>
      <c r="D217" s="77"/>
      <c r="E217" s="77"/>
      <c r="F217" s="77"/>
      <c r="G217" s="77"/>
      <c r="H217" s="77"/>
      <c r="I217" s="77"/>
      <c r="J217" s="77"/>
      <c r="K217" s="78"/>
      <c r="L217" s="79"/>
      <c r="M217" s="77"/>
      <c r="N217" s="80"/>
      <c r="O217" s="77"/>
      <c r="P217" s="77"/>
      <c r="Q217" s="77"/>
      <c r="R217" s="77"/>
      <c r="S217" s="77"/>
      <c r="T217" s="77"/>
      <c r="U217" s="81"/>
      <c r="V217" s="82"/>
      <c r="W217" s="77"/>
      <c r="X217" s="77"/>
      <c r="Y217" s="77"/>
      <c r="Z217" s="77"/>
      <c r="AA217" s="83"/>
      <c r="AB217" s="77" t="str">
        <f t="shared" ca="1" si="20"/>
        <v/>
      </c>
      <c r="AC217" s="84"/>
      <c r="AD217" s="84"/>
      <c r="AE217" s="85"/>
      <c r="AF217" s="84"/>
      <c r="AG217" s="84"/>
      <c r="AH217" s="85"/>
      <c r="AI217" s="85"/>
      <c r="AJ217" s="86">
        <f>IF(OR(Processos!$H217="Alienação",Processos!$H217="Concessão"),"",(N217-AI217)-(AE217+AH217))</f>
        <v>0</v>
      </c>
      <c r="AK217" s="87" t="str">
        <f t="shared" si="21"/>
        <v/>
      </c>
      <c r="AL217" s="79"/>
      <c r="AM217" s="88"/>
      <c r="AN217" s="89"/>
      <c r="AO217" s="90" t="str">
        <f>IF(Tabela1[[#This Row],[Data de aprovação]]="","",Tabela1[[#This Row],[Data de aprovação]]-Tabela1[[#This Row],[Data de abertura]])</f>
        <v/>
      </c>
      <c r="AP217" s="91"/>
      <c r="AMG217" s="93"/>
      <c r="AMH217" s="93"/>
      <c r="AMI217" s="93"/>
      <c r="AMJ217" s="93"/>
    </row>
    <row r="218" spans="1:1024" s="92" customFormat="1" ht="15" customHeight="1" x14ac:dyDescent="0.15">
      <c r="A218" s="74"/>
      <c r="B218" s="75">
        <v>213</v>
      </c>
      <c r="C218" s="76"/>
      <c r="D218" s="77"/>
      <c r="E218" s="77"/>
      <c r="F218" s="77"/>
      <c r="G218" s="77"/>
      <c r="H218" s="77"/>
      <c r="I218" s="77"/>
      <c r="J218" s="77"/>
      <c r="K218" s="78"/>
      <c r="L218" s="79"/>
      <c r="M218" s="77"/>
      <c r="N218" s="80"/>
      <c r="O218" s="77"/>
      <c r="P218" s="77"/>
      <c r="Q218" s="77"/>
      <c r="R218" s="77"/>
      <c r="S218" s="77"/>
      <c r="T218" s="77"/>
      <c r="U218" s="81"/>
      <c r="V218" s="82"/>
      <c r="W218" s="77"/>
      <c r="X218" s="77"/>
      <c r="Y218" s="77"/>
      <c r="Z218" s="77"/>
      <c r="AA218" s="83"/>
      <c r="AB218" s="77" t="str">
        <f t="shared" ca="1" si="20"/>
        <v/>
      </c>
      <c r="AC218" s="84"/>
      <c r="AD218" s="84"/>
      <c r="AE218" s="85"/>
      <c r="AF218" s="84"/>
      <c r="AG218" s="84"/>
      <c r="AH218" s="85"/>
      <c r="AI218" s="85"/>
      <c r="AJ218" s="86">
        <f>IF(OR(Processos!$H218="Alienação",Processos!$H218="Concessão"),"",(N218-AI218)-(AE218+AH218))</f>
        <v>0</v>
      </c>
      <c r="AK218" s="87" t="str">
        <f t="shared" si="21"/>
        <v/>
      </c>
      <c r="AL218" s="79"/>
      <c r="AM218" s="88"/>
      <c r="AN218" s="89"/>
      <c r="AO218" s="90" t="str">
        <f>IF(Tabela1[[#This Row],[Data de aprovação]]="","",Tabela1[[#This Row],[Data de aprovação]]-Tabela1[[#This Row],[Data de abertura]])</f>
        <v/>
      </c>
      <c r="AP218" s="91"/>
      <c r="AMG218" s="93"/>
      <c r="AMH218" s="93"/>
      <c r="AMI218" s="93"/>
      <c r="AMJ218" s="93"/>
    </row>
    <row r="219" spans="1:1024" s="92" customFormat="1" ht="15" customHeight="1" x14ac:dyDescent="0.15">
      <c r="A219" s="74"/>
      <c r="B219" s="75">
        <v>214</v>
      </c>
      <c r="C219" s="76"/>
      <c r="D219" s="77"/>
      <c r="E219" s="77"/>
      <c r="F219" s="77"/>
      <c r="G219" s="77"/>
      <c r="H219" s="77"/>
      <c r="I219" s="77"/>
      <c r="J219" s="77"/>
      <c r="K219" s="78"/>
      <c r="L219" s="79"/>
      <c r="M219" s="77"/>
      <c r="N219" s="80"/>
      <c r="O219" s="77"/>
      <c r="P219" s="77"/>
      <c r="Q219" s="77"/>
      <c r="R219" s="77"/>
      <c r="S219" s="77"/>
      <c r="T219" s="77"/>
      <c r="U219" s="81"/>
      <c r="V219" s="82"/>
      <c r="W219" s="77"/>
      <c r="X219" s="77"/>
      <c r="Y219" s="77"/>
      <c r="Z219" s="77"/>
      <c r="AA219" s="83"/>
      <c r="AB219" s="77" t="str">
        <f t="shared" ca="1" si="20"/>
        <v/>
      </c>
      <c r="AC219" s="84"/>
      <c r="AD219" s="84"/>
      <c r="AE219" s="85"/>
      <c r="AF219" s="84"/>
      <c r="AG219" s="84"/>
      <c r="AH219" s="85"/>
      <c r="AI219" s="85"/>
      <c r="AJ219" s="86">
        <f>IF(OR(Processos!$H219="Alienação",Processos!$H219="Concessão"),"",(N219-AI219)-(AE219+AH219))</f>
        <v>0</v>
      </c>
      <c r="AK219" s="87" t="str">
        <f t="shared" si="21"/>
        <v/>
      </c>
      <c r="AL219" s="79"/>
      <c r="AM219" s="88"/>
      <c r="AN219" s="89"/>
      <c r="AO219" s="90" t="str">
        <f>IF(Tabela1[[#This Row],[Data de aprovação]]="","",Tabela1[[#This Row],[Data de aprovação]]-Tabela1[[#This Row],[Data de abertura]])</f>
        <v/>
      </c>
      <c r="AP219" s="91"/>
      <c r="AMG219" s="93"/>
      <c r="AMH219" s="93"/>
      <c r="AMI219" s="93"/>
      <c r="AMJ219" s="93"/>
    </row>
    <row r="220" spans="1:1024" s="92" customFormat="1" ht="15" customHeight="1" x14ac:dyDescent="0.15">
      <c r="A220" s="74"/>
      <c r="B220" s="75">
        <v>215</v>
      </c>
      <c r="C220" s="76"/>
      <c r="D220" s="77"/>
      <c r="E220" s="77"/>
      <c r="F220" s="77"/>
      <c r="G220" s="77"/>
      <c r="H220" s="77"/>
      <c r="I220" s="77"/>
      <c r="J220" s="77"/>
      <c r="K220" s="78"/>
      <c r="L220" s="79"/>
      <c r="M220" s="77"/>
      <c r="N220" s="80"/>
      <c r="O220" s="77"/>
      <c r="P220" s="77"/>
      <c r="Q220" s="77"/>
      <c r="R220" s="77"/>
      <c r="S220" s="77"/>
      <c r="T220" s="77"/>
      <c r="U220" s="81"/>
      <c r="V220" s="82"/>
      <c r="W220" s="77"/>
      <c r="X220" s="77"/>
      <c r="Y220" s="77"/>
      <c r="Z220" s="77"/>
      <c r="AA220" s="83"/>
      <c r="AB220" s="77" t="str">
        <f t="shared" ca="1" si="20"/>
        <v/>
      </c>
      <c r="AC220" s="84"/>
      <c r="AD220" s="84"/>
      <c r="AE220" s="85"/>
      <c r="AF220" s="84"/>
      <c r="AG220" s="84"/>
      <c r="AH220" s="85"/>
      <c r="AI220" s="85"/>
      <c r="AJ220" s="86">
        <f>IF(OR(Processos!$H220="Alienação",Processos!$H220="Concessão"),"",(N220-AI220)-(AE220+AH220))</f>
        <v>0</v>
      </c>
      <c r="AK220" s="87" t="str">
        <f t="shared" si="21"/>
        <v/>
      </c>
      <c r="AL220" s="79"/>
      <c r="AM220" s="88"/>
      <c r="AN220" s="89"/>
      <c r="AO220" s="90" t="str">
        <f>IF(Tabela1[[#This Row],[Data de aprovação]]="","",Tabela1[[#This Row],[Data de aprovação]]-Tabela1[[#This Row],[Data de abertura]])</f>
        <v/>
      </c>
      <c r="AP220" s="91"/>
      <c r="AMG220" s="93"/>
      <c r="AMH220" s="93"/>
      <c r="AMI220" s="93"/>
      <c r="AMJ220" s="93"/>
    </row>
    <row r="221" spans="1:1024" s="92" customFormat="1" ht="15" customHeight="1" x14ac:dyDescent="0.15">
      <c r="A221" s="74"/>
      <c r="B221" s="75">
        <v>216</v>
      </c>
      <c r="C221" s="76"/>
      <c r="D221" s="77"/>
      <c r="E221" s="77"/>
      <c r="F221" s="77"/>
      <c r="G221" s="77"/>
      <c r="H221" s="77"/>
      <c r="I221" s="77"/>
      <c r="J221" s="77"/>
      <c r="K221" s="78"/>
      <c r="L221" s="79"/>
      <c r="M221" s="77"/>
      <c r="N221" s="80"/>
      <c r="O221" s="77"/>
      <c r="P221" s="77"/>
      <c r="Q221" s="77"/>
      <c r="R221" s="77"/>
      <c r="S221" s="77"/>
      <c r="T221" s="77"/>
      <c r="U221" s="81"/>
      <c r="V221" s="82"/>
      <c r="W221" s="77"/>
      <c r="X221" s="77"/>
      <c r="Y221" s="77"/>
      <c r="Z221" s="77"/>
      <c r="AA221" s="83"/>
      <c r="AB221" s="77" t="str">
        <f t="shared" ca="1" si="20"/>
        <v/>
      </c>
      <c r="AC221" s="84"/>
      <c r="AD221" s="84"/>
      <c r="AE221" s="85"/>
      <c r="AF221" s="84"/>
      <c r="AG221" s="84"/>
      <c r="AH221" s="85"/>
      <c r="AI221" s="85"/>
      <c r="AJ221" s="86">
        <f>IF(OR(Processos!$H221="Alienação",Processos!$H221="Concessão"),"",(N221-AI221)-(AE221+AH221))</f>
        <v>0</v>
      </c>
      <c r="AK221" s="87" t="str">
        <f t="shared" si="21"/>
        <v/>
      </c>
      <c r="AL221" s="79"/>
      <c r="AM221" s="88"/>
      <c r="AN221" s="89"/>
      <c r="AO221" s="90" t="str">
        <f>IF(Tabela1[[#This Row],[Data de aprovação]]="","",Tabela1[[#This Row],[Data de aprovação]]-Tabela1[[#This Row],[Data de abertura]])</f>
        <v/>
      </c>
      <c r="AP221" s="91"/>
      <c r="AMG221" s="93"/>
      <c r="AMH221" s="93"/>
      <c r="AMI221" s="93"/>
      <c r="AMJ221" s="93"/>
    </row>
    <row r="222" spans="1:1024" s="92" customFormat="1" ht="15" customHeight="1" x14ac:dyDescent="0.15">
      <c r="A222" s="74"/>
      <c r="B222" s="75">
        <v>217</v>
      </c>
      <c r="C222" s="76"/>
      <c r="D222" s="77"/>
      <c r="E222" s="77"/>
      <c r="F222" s="77"/>
      <c r="G222" s="77"/>
      <c r="H222" s="77"/>
      <c r="I222" s="77"/>
      <c r="J222" s="77"/>
      <c r="K222" s="78"/>
      <c r="L222" s="79"/>
      <c r="M222" s="77"/>
      <c r="N222" s="80"/>
      <c r="O222" s="77"/>
      <c r="P222" s="77"/>
      <c r="Q222" s="77"/>
      <c r="R222" s="77"/>
      <c r="S222" s="77"/>
      <c r="T222" s="77"/>
      <c r="U222" s="81"/>
      <c r="V222" s="82"/>
      <c r="W222" s="77"/>
      <c r="X222" s="77"/>
      <c r="Y222" s="77"/>
      <c r="Z222" s="77"/>
      <c r="AA222" s="83"/>
      <c r="AB222" s="77" t="str">
        <f t="shared" ca="1" si="20"/>
        <v/>
      </c>
      <c r="AC222" s="84"/>
      <c r="AD222" s="84"/>
      <c r="AE222" s="85"/>
      <c r="AF222" s="84"/>
      <c r="AG222" s="84"/>
      <c r="AH222" s="85"/>
      <c r="AI222" s="85"/>
      <c r="AJ222" s="86">
        <f>IF(OR(Processos!$H222="Alienação",Processos!$H222="Concessão"),"",(N222-AI222)-(AE222+AH222))</f>
        <v>0</v>
      </c>
      <c r="AK222" s="87" t="str">
        <f t="shared" si="21"/>
        <v/>
      </c>
      <c r="AL222" s="79"/>
      <c r="AM222" s="88"/>
      <c r="AN222" s="89"/>
      <c r="AO222" s="90" t="str">
        <f>IF(Tabela1[[#This Row],[Data de aprovação]]="","",Tabela1[[#This Row],[Data de aprovação]]-Tabela1[[#This Row],[Data de abertura]])</f>
        <v/>
      </c>
      <c r="AP222" s="91"/>
      <c r="AMG222" s="93"/>
      <c r="AMH222" s="93"/>
      <c r="AMI222" s="93"/>
      <c r="AMJ222" s="93"/>
    </row>
    <row r="223" spans="1:1024" s="92" customFormat="1" ht="15" customHeight="1" x14ac:dyDescent="0.15">
      <c r="A223" s="74"/>
      <c r="B223" s="75">
        <v>218</v>
      </c>
      <c r="C223" s="76"/>
      <c r="D223" s="77"/>
      <c r="E223" s="77"/>
      <c r="F223" s="77"/>
      <c r="G223" s="77"/>
      <c r="H223" s="77"/>
      <c r="I223" s="77"/>
      <c r="J223" s="77"/>
      <c r="K223" s="78"/>
      <c r="L223" s="79"/>
      <c r="M223" s="77"/>
      <c r="N223" s="80"/>
      <c r="O223" s="77"/>
      <c r="P223" s="77"/>
      <c r="Q223" s="77"/>
      <c r="R223" s="77"/>
      <c r="S223" s="77"/>
      <c r="T223" s="77"/>
      <c r="U223" s="81"/>
      <c r="V223" s="82"/>
      <c r="W223" s="77"/>
      <c r="X223" s="77"/>
      <c r="Y223" s="77"/>
      <c r="Z223" s="77"/>
      <c r="AA223" s="83"/>
      <c r="AB223" s="77" t="str">
        <f t="shared" ca="1" si="20"/>
        <v/>
      </c>
      <c r="AC223" s="84"/>
      <c r="AD223" s="84"/>
      <c r="AE223" s="85"/>
      <c r="AF223" s="84"/>
      <c r="AG223" s="84"/>
      <c r="AH223" s="85"/>
      <c r="AI223" s="85"/>
      <c r="AJ223" s="86">
        <f>IF(OR(Processos!$H223="Alienação",Processos!$H223="Concessão"),"",(N223-AI223)-(AE223+AH223))</f>
        <v>0</v>
      </c>
      <c r="AK223" s="87" t="str">
        <f t="shared" si="21"/>
        <v/>
      </c>
      <c r="AL223" s="79"/>
      <c r="AM223" s="88"/>
      <c r="AN223" s="89"/>
      <c r="AO223" s="90" t="str">
        <f>IF(Tabela1[[#This Row],[Data de aprovação]]="","",Tabela1[[#This Row],[Data de aprovação]]-Tabela1[[#This Row],[Data de abertura]])</f>
        <v/>
      </c>
      <c r="AP223" s="91"/>
      <c r="AMG223" s="93"/>
      <c r="AMH223" s="93"/>
      <c r="AMI223" s="93"/>
      <c r="AMJ223" s="93"/>
    </row>
    <row r="224" spans="1:1024" s="92" customFormat="1" ht="15" customHeight="1" x14ac:dyDescent="0.15">
      <c r="A224" s="74"/>
      <c r="B224" s="75">
        <v>219</v>
      </c>
      <c r="C224" s="76"/>
      <c r="D224" s="77"/>
      <c r="E224" s="77"/>
      <c r="F224" s="77"/>
      <c r="G224" s="77"/>
      <c r="H224" s="77"/>
      <c r="I224" s="77"/>
      <c r="J224" s="77"/>
      <c r="K224" s="78"/>
      <c r="L224" s="79"/>
      <c r="M224" s="77"/>
      <c r="N224" s="80"/>
      <c r="O224" s="77"/>
      <c r="P224" s="77"/>
      <c r="Q224" s="77"/>
      <c r="R224" s="77"/>
      <c r="S224" s="77"/>
      <c r="T224" s="77"/>
      <c r="U224" s="81"/>
      <c r="V224" s="82"/>
      <c r="W224" s="77"/>
      <c r="X224" s="77"/>
      <c r="Y224" s="77"/>
      <c r="Z224" s="77"/>
      <c r="AA224" s="83"/>
      <c r="AB224" s="77" t="str">
        <f t="shared" ca="1" si="20"/>
        <v/>
      </c>
      <c r="AC224" s="84"/>
      <c r="AD224" s="84"/>
      <c r="AE224" s="85"/>
      <c r="AF224" s="84"/>
      <c r="AG224" s="84"/>
      <c r="AH224" s="85"/>
      <c r="AI224" s="85"/>
      <c r="AJ224" s="86">
        <f>IF(OR(Processos!$H224="Alienação",Processos!$H224="Concessão"),"",(N224-AI224)-(AE224+AH224))</f>
        <v>0</v>
      </c>
      <c r="AK224" s="87" t="str">
        <f t="shared" si="21"/>
        <v/>
      </c>
      <c r="AL224" s="79"/>
      <c r="AM224" s="88"/>
      <c r="AN224" s="89"/>
      <c r="AO224" s="90" t="str">
        <f>IF(Tabela1[[#This Row],[Data de aprovação]]="","",Tabela1[[#This Row],[Data de aprovação]]-Tabela1[[#This Row],[Data de abertura]])</f>
        <v/>
      </c>
      <c r="AP224" s="91"/>
      <c r="AMG224" s="93"/>
      <c r="AMH224" s="93"/>
      <c r="AMI224" s="93"/>
      <c r="AMJ224" s="93"/>
    </row>
    <row r="225" spans="1:1024" s="92" customFormat="1" ht="15" customHeight="1" x14ac:dyDescent="0.15">
      <c r="A225" s="74"/>
      <c r="B225" s="75">
        <v>220</v>
      </c>
      <c r="C225" s="76"/>
      <c r="D225" s="77"/>
      <c r="E225" s="77"/>
      <c r="F225" s="77"/>
      <c r="G225" s="77"/>
      <c r="H225" s="77"/>
      <c r="I225" s="77"/>
      <c r="J225" s="77"/>
      <c r="K225" s="78"/>
      <c r="L225" s="79"/>
      <c r="M225" s="77"/>
      <c r="N225" s="80"/>
      <c r="O225" s="77"/>
      <c r="P225" s="77"/>
      <c r="Q225" s="77"/>
      <c r="R225" s="77"/>
      <c r="S225" s="77"/>
      <c r="T225" s="77"/>
      <c r="U225" s="81"/>
      <c r="V225" s="82"/>
      <c r="W225" s="77"/>
      <c r="X225" s="77"/>
      <c r="Y225" s="77"/>
      <c r="Z225" s="77"/>
      <c r="AA225" s="83"/>
      <c r="AB225" s="77" t="str">
        <f t="shared" ca="1" si="20"/>
        <v/>
      </c>
      <c r="AC225" s="84"/>
      <c r="AD225" s="84"/>
      <c r="AE225" s="85"/>
      <c r="AF225" s="84"/>
      <c r="AG225" s="84"/>
      <c r="AH225" s="85"/>
      <c r="AI225" s="85"/>
      <c r="AJ225" s="86">
        <f>IF(OR(Processos!$H225="Alienação",Processos!$H225="Concessão"),"",(N225-AI225)-(AE225+AH225))</f>
        <v>0</v>
      </c>
      <c r="AK225" s="87" t="str">
        <f t="shared" si="21"/>
        <v/>
      </c>
      <c r="AL225" s="79"/>
      <c r="AM225" s="88"/>
      <c r="AN225" s="89"/>
      <c r="AO225" s="90" t="str">
        <f>IF(Tabela1[[#This Row],[Data de aprovação]]="","",Tabela1[[#This Row],[Data de aprovação]]-Tabela1[[#This Row],[Data de abertura]])</f>
        <v/>
      </c>
      <c r="AP225" s="91"/>
      <c r="AMG225" s="93"/>
      <c r="AMH225" s="93"/>
      <c r="AMI225" s="93"/>
      <c r="AMJ225" s="93"/>
    </row>
    <row r="226" spans="1:1024" s="92" customFormat="1" ht="15" customHeight="1" x14ac:dyDescent="0.15">
      <c r="A226" s="74"/>
      <c r="B226" s="75">
        <v>221</v>
      </c>
      <c r="C226" s="76"/>
      <c r="D226" s="77"/>
      <c r="E226" s="77"/>
      <c r="F226" s="77"/>
      <c r="G226" s="77"/>
      <c r="H226" s="77"/>
      <c r="I226" s="77"/>
      <c r="J226" s="77"/>
      <c r="K226" s="78"/>
      <c r="L226" s="79"/>
      <c r="M226" s="77"/>
      <c r="N226" s="80"/>
      <c r="O226" s="77"/>
      <c r="P226" s="77"/>
      <c r="Q226" s="77"/>
      <c r="R226" s="77"/>
      <c r="S226" s="77"/>
      <c r="T226" s="77"/>
      <c r="U226" s="81"/>
      <c r="V226" s="82"/>
      <c r="W226" s="77"/>
      <c r="X226" s="77"/>
      <c r="Y226" s="77"/>
      <c r="Z226" s="77"/>
      <c r="AA226" s="83"/>
      <c r="AB226" s="77" t="str">
        <f t="shared" ca="1" si="20"/>
        <v/>
      </c>
      <c r="AC226" s="84"/>
      <c r="AD226" s="84"/>
      <c r="AE226" s="85"/>
      <c r="AF226" s="84"/>
      <c r="AG226" s="84"/>
      <c r="AH226" s="85"/>
      <c r="AI226" s="85"/>
      <c r="AJ226" s="86">
        <f>IF(OR(Processos!$H226="Alienação",Processos!$H226="Concessão"),"",(N226-AI226)-(AE226+AH226))</f>
        <v>0</v>
      </c>
      <c r="AK226" s="87" t="str">
        <f t="shared" si="21"/>
        <v/>
      </c>
      <c r="AL226" s="79"/>
      <c r="AM226" s="88"/>
      <c r="AN226" s="89"/>
      <c r="AO226" s="90" t="str">
        <f>IF(Tabela1[[#This Row],[Data de aprovação]]="","",Tabela1[[#This Row],[Data de aprovação]]-Tabela1[[#This Row],[Data de abertura]])</f>
        <v/>
      </c>
      <c r="AP226" s="91"/>
      <c r="AMG226" s="93"/>
      <c r="AMH226" s="93"/>
      <c r="AMI226" s="93"/>
      <c r="AMJ226" s="93"/>
    </row>
    <row r="227" spans="1:1024" s="92" customFormat="1" ht="15" customHeight="1" x14ac:dyDescent="0.15">
      <c r="A227" s="74"/>
      <c r="B227" s="75">
        <v>222</v>
      </c>
      <c r="C227" s="76"/>
      <c r="D227" s="77"/>
      <c r="E227" s="77"/>
      <c r="F227" s="77"/>
      <c r="G227" s="77"/>
      <c r="H227" s="77"/>
      <c r="I227" s="77"/>
      <c r="J227" s="77"/>
      <c r="K227" s="78"/>
      <c r="L227" s="79"/>
      <c r="M227" s="77"/>
      <c r="N227" s="80"/>
      <c r="O227" s="77"/>
      <c r="P227" s="77"/>
      <c r="Q227" s="77"/>
      <c r="R227" s="77"/>
      <c r="S227" s="77"/>
      <c r="T227" s="77"/>
      <c r="U227" s="81"/>
      <c r="V227" s="82"/>
      <c r="W227" s="77"/>
      <c r="X227" s="77"/>
      <c r="Y227" s="77"/>
      <c r="Z227" s="77"/>
      <c r="AA227" s="83"/>
      <c r="AB227" s="77" t="str">
        <f t="shared" ca="1" si="20"/>
        <v/>
      </c>
      <c r="AC227" s="84"/>
      <c r="AD227" s="84"/>
      <c r="AE227" s="85"/>
      <c r="AF227" s="84"/>
      <c r="AG227" s="84"/>
      <c r="AH227" s="85"/>
      <c r="AI227" s="85"/>
      <c r="AJ227" s="86">
        <f>IF(OR(Processos!$H227="Alienação",Processos!$H227="Concessão"),"",(N227-AI227)-(AE227+AH227))</f>
        <v>0</v>
      </c>
      <c r="AK227" s="87" t="str">
        <f t="shared" si="21"/>
        <v/>
      </c>
      <c r="AL227" s="79"/>
      <c r="AM227" s="88"/>
      <c r="AN227" s="89"/>
      <c r="AO227" s="90" t="str">
        <f>IF(Tabela1[[#This Row],[Data de aprovação]]="","",Tabela1[[#This Row],[Data de aprovação]]-Tabela1[[#This Row],[Data de abertura]])</f>
        <v/>
      </c>
      <c r="AP227" s="91"/>
      <c r="AMG227" s="93"/>
      <c r="AMH227" s="93"/>
      <c r="AMI227" s="93"/>
      <c r="AMJ227" s="93"/>
    </row>
    <row r="228" spans="1:1024" s="92" customFormat="1" ht="15" customHeight="1" x14ac:dyDescent="0.15">
      <c r="A228" s="74"/>
      <c r="B228" s="75">
        <v>223</v>
      </c>
      <c r="C228" s="76"/>
      <c r="D228" s="77"/>
      <c r="E228" s="77"/>
      <c r="F228" s="77"/>
      <c r="G228" s="77"/>
      <c r="H228" s="77"/>
      <c r="I228" s="77"/>
      <c r="J228" s="77"/>
      <c r="K228" s="78"/>
      <c r="L228" s="79"/>
      <c r="M228" s="77"/>
      <c r="N228" s="80"/>
      <c r="O228" s="77"/>
      <c r="P228" s="77"/>
      <c r="Q228" s="77"/>
      <c r="R228" s="77"/>
      <c r="S228" s="77"/>
      <c r="T228" s="77"/>
      <c r="U228" s="81"/>
      <c r="V228" s="82"/>
      <c r="W228" s="77"/>
      <c r="X228" s="77"/>
      <c r="Y228" s="77"/>
      <c r="Z228" s="77"/>
      <c r="AA228" s="83"/>
      <c r="AB228" s="77" t="str">
        <f t="shared" ca="1" si="20"/>
        <v/>
      </c>
      <c r="AC228" s="84"/>
      <c r="AD228" s="84"/>
      <c r="AE228" s="85"/>
      <c r="AF228" s="84"/>
      <c r="AG228" s="84"/>
      <c r="AH228" s="85"/>
      <c r="AI228" s="85"/>
      <c r="AJ228" s="86">
        <f>IF(OR(Processos!$H228="Alienação",Processos!$H228="Concessão"),"",(N228-AI228)-(AE228+AH228))</f>
        <v>0</v>
      </c>
      <c r="AK228" s="87" t="str">
        <f t="shared" si="21"/>
        <v/>
      </c>
      <c r="AL228" s="79"/>
      <c r="AM228" s="88"/>
      <c r="AN228" s="89"/>
      <c r="AO228" s="90" t="str">
        <f>IF(Tabela1[[#This Row],[Data de aprovação]]="","",Tabela1[[#This Row],[Data de aprovação]]-Tabela1[[#This Row],[Data de abertura]])</f>
        <v/>
      </c>
      <c r="AP228" s="91"/>
      <c r="AMG228" s="93"/>
      <c r="AMH228" s="93"/>
      <c r="AMI228" s="93"/>
      <c r="AMJ228" s="93"/>
    </row>
    <row r="229" spans="1:1024" s="92" customFormat="1" ht="15" customHeight="1" x14ac:dyDescent="0.15">
      <c r="A229" s="74"/>
      <c r="B229" s="75">
        <v>224</v>
      </c>
      <c r="C229" s="76"/>
      <c r="D229" s="77"/>
      <c r="E229" s="77"/>
      <c r="F229" s="77"/>
      <c r="G229" s="77"/>
      <c r="H229" s="77"/>
      <c r="I229" s="77"/>
      <c r="J229" s="77"/>
      <c r="K229" s="78"/>
      <c r="L229" s="79"/>
      <c r="M229" s="77"/>
      <c r="N229" s="80"/>
      <c r="O229" s="77"/>
      <c r="P229" s="77"/>
      <c r="Q229" s="77"/>
      <c r="R229" s="77"/>
      <c r="S229" s="77"/>
      <c r="T229" s="77"/>
      <c r="U229" s="81"/>
      <c r="V229" s="82"/>
      <c r="W229" s="77"/>
      <c r="X229" s="77"/>
      <c r="Y229" s="77"/>
      <c r="Z229" s="77"/>
      <c r="AA229" s="83"/>
      <c r="AB229" s="77" t="str">
        <f t="shared" ca="1" si="20"/>
        <v/>
      </c>
      <c r="AC229" s="84"/>
      <c r="AD229" s="84"/>
      <c r="AE229" s="85"/>
      <c r="AF229" s="84"/>
      <c r="AG229" s="84"/>
      <c r="AH229" s="85"/>
      <c r="AI229" s="85"/>
      <c r="AJ229" s="86">
        <f>IF(OR(Processos!$H229="Alienação",Processos!$H229="Concessão"),"",(N229-AI229)-(AE229+AH229))</f>
        <v>0</v>
      </c>
      <c r="AK229" s="87" t="str">
        <f t="shared" si="21"/>
        <v/>
      </c>
      <c r="AL229" s="79"/>
      <c r="AM229" s="88"/>
      <c r="AN229" s="89"/>
      <c r="AO229" s="90" t="str">
        <f>IF(Tabela1[[#This Row],[Data de aprovação]]="","",Tabela1[[#This Row],[Data de aprovação]]-Tabela1[[#This Row],[Data de abertura]])</f>
        <v/>
      </c>
      <c r="AP229" s="91"/>
      <c r="AMG229" s="93"/>
      <c r="AMH229" s="93"/>
      <c r="AMI229" s="93"/>
      <c r="AMJ229" s="93"/>
    </row>
    <row r="230" spans="1:1024" s="92" customFormat="1" ht="15" customHeight="1" x14ac:dyDescent="0.15">
      <c r="A230" s="74"/>
      <c r="B230" s="75">
        <v>225</v>
      </c>
      <c r="C230" s="76"/>
      <c r="D230" s="77"/>
      <c r="E230" s="77"/>
      <c r="F230" s="77"/>
      <c r="G230" s="77"/>
      <c r="H230" s="77"/>
      <c r="I230" s="77"/>
      <c r="J230" s="77"/>
      <c r="K230" s="78"/>
      <c r="L230" s="79"/>
      <c r="M230" s="77"/>
      <c r="N230" s="80"/>
      <c r="O230" s="77"/>
      <c r="P230" s="77"/>
      <c r="Q230" s="77"/>
      <c r="R230" s="77"/>
      <c r="S230" s="77"/>
      <c r="T230" s="77"/>
      <c r="U230" s="81"/>
      <c r="V230" s="82"/>
      <c r="W230" s="77"/>
      <c r="X230" s="77"/>
      <c r="Y230" s="77"/>
      <c r="Z230" s="77"/>
      <c r="AA230" s="83"/>
      <c r="AB230" s="77" t="str">
        <f t="shared" ca="1" si="20"/>
        <v/>
      </c>
      <c r="AC230" s="84"/>
      <c r="AD230" s="84"/>
      <c r="AE230" s="85"/>
      <c r="AF230" s="84"/>
      <c r="AG230" s="84"/>
      <c r="AH230" s="85"/>
      <c r="AI230" s="85"/>
      <c r="AJ230" s="86">
        <f>IF(OR(Processos!$H230="Alienação",Processos!$H230="Concessão"),"",(N230-AI230)-(AE230+AH230))</f>
        <v>0</v>
      </c>
      <c r="AK230" s="87" t="str">
        <f t="shared" si="21"/>
        <v/>
      </c>
      <c r="AL230" s="79"/>
      <c r="AM230" s="88"/>
      <c r="AN230" s="89"/>
      <c r="AO230" s="90" t="str">
        <f>IF(Tabela1[[#This Row],[Data de aprovação]]="","",Tabela1[[#This Row],[Data de aprovação]]-Tabela1[[#This Row],[Data de abertura]])</f>
        <v/>
      </c>
      <c r="AP230" s="91"/>
      <c r="AMG230" s="93"/>
      <c r="AMH230" s="93"/>
      <c r="AMI230" s="93"/>
      <c r="AMJ230" s="93"/>
    </row>
    <row r="231" spans="1:1024" s="92" customFormat="1" ht="15" customHeight="1" x14ac:dyDescent="0.15">
      <c r="A231" s="74"/>
      <c r="B231" s="75">
        <v>226</v>
      </c>
      <c r="C231" s="76"/>
      <c r="D231" s="77"/>
      <c r="E231" s="77"/>
      <c r="F231" s="77"/>
      <c r="G231" s="77"/>
      <c r="H231" s="77"/>
      <c r="I231" s="77"/>
      <c r="J231" s="77"/>
      <c r="K231" s="78"/>
      <c r="L231" s="79"/>
      <c r="M231" s="77"/>
      <c r="N231" s="80"/>
      <c r="O231" s="77"/>
      <c r="P231" s="77"/>
      <c r="Q231" s="77"/>
      <c r="R231" s="77"/>
      <c r="S231" s="77"/>
      <c r="T231" s="77"/>
      <c r="U231" s="81"/>
      <c r="V231" s="82"/>
      <c r="W231" s="77"/>
      <c r="X231" s="77"/>
      <c r="Y231" s="77"/>
      <c r="Z231" s="77"/>
      <c r="AA231" s="83"/>
      <c r="AB231" s="77" t="str">
        <f t="shared" ca="1" si="20"/>
        <v/>
      </c>
      <c r="AC231" s="84"/>
      <c r="AD231" s="84"/>
      <c r="AE231" s="85"/>
      <c r="AF231" s="84"/>
      <c r="AG231" s="84"/>
      <c r="AH231" s="85"/>
      <c r="AI231" s="85"/>
      <c r="AJ231" s="86">
        <f>IF(OR(Processos!$H231="Alienação",Processos!$H231="Concessão"),"",(N231-AI231)-(AE231+AH231))</f>
        <v>0</v>
      </c>
      <c r="AK231" s="87" t="str">
        <f t="shared" si="21"/>
        <v/>
      </c>
      <c r="AL231" s="79"/>
      <c r="AM231" s="88"/>
      <c r="AN231" s="89"/>
      <c r="AO231" s="90" t="str">
        <f>IF(Tabela1[[#This Row],[Data de aprovação]]="","",Tabela1[[#This Row],[Data de aprovação]]-Tabela1[[#This Row],[Data de abertura]])</f>
        <v/>
      </c>
      <c r="AP231" s="91"/>
      <c r="AMG231" s="93"/>
      <c r="AMH231" s="93"/>
      <c r="AMI231" s="93"/>
      <c r="AMJ231" s="93"/>
    </row>
    <row r="232" spans="1:1024" s="92" customFormat="1" ht="15" customHeight="1" x14ac:dyDescent="0.15">
      <c r="A232" s="74"/>
      <c r="B232" s="75">
        <v>227</v>
      </c>
      <c r="C232" s="76"/>
      <c r="D232" s="77"/>
      <c r="E232" s="77"/>
      <c r="F232" s="77"/>
      <c r="G232" s="77"/>
      <c r="H232" s="77"/>
      <c r="I232" s="77"/>
      <c r="J232" s="77"/>
      <c r="K232" s="78"/>
      <c r="L232" s="79"/>
      <c r="M232" s="77"/>
      <c r="N232" s="80"/>
      <c r="O232" s="77"/>
      <c r="P232" s="77"/>
      <c r="Q232" s="77"/>
      <c r="R232" s="77"/>
      <c r="S232" s="77"/>
      <c r="T232" s="77"/>
      <c r="U232" s="81"/>
      <c r="V232" s="82"/>
      <c r="W232" s="77"/>
      <c r="X232" s="77"/>
      <c r="Y232" s="77"/>
      <c r="Z232" s="77"/>
      <c r="AA232" s="83"/>
      <c r="AB232" s="77" t="str">
        <f t="shared" ref="AB232:AB250" ca="1" si="22">IF(U232="","",IF(AA232="",TODAY()-U232,IF(AA232-U232,AA232-U232,0)))</f>
        <v/>
      </c>
      <c r="AC232" s="84"/>
      <c r="AD232" s="84"/>
      <c r="AE232" s="85"/>
      <c r="AF232" s="84"/>
      <c r="AG232" s="84"/>
      <c r="AH232" s="85"/>
      <c r="AI232" s="85"/>
      <c r="AJ232" s="86">
        <f>IF(OR(Processos!$H232="Alienação",Processos!$H232="Concessão"),"",(N232-AI232)-(AE232+AH232))</f>
        <v>0</v>
      </c>
      <c r="AK232" s="87" t="str">
        <f t="shared" ref="AK232:AK250" si="23">IF(ISERROR((AJ232*100)/N232/100),"",(AJ232*100)/N232/100)</f>
        <v/>
      </c>
      <c r="AL232" s="79"/>
      <c r="AM232" s="88"/>
      <c r="AN232" s="89"/>
      <c r="AO232" s="90" t="str">
        <f>IF(Tabela1[[#This Row],[Data de aprovação]]="","",Tabela1[[#This Row],[Data de aprovação]]-Tabela1[[#This Row],[Data de abertura]])</f>
        <v/>
      </c>
      <c r="AP232" s="91"/>
      <c r="AMG232" s="93"/>
      <c r="AMH232" s="93"/>
      <c r="AMI232" s="93"/>
      <c r="AMJ232" s="93"/>
    </row>
    <row r="233" spans="1:1024" s="92" customFormat="1" ht="15" customHeight="1" x14ac:dyDescent="0.15">
      <c r="A233" s="74"/>
      <c r="B233" s="75">
        <v>228</v>
      </c>
      <c r="C233" s="76"/>
      <c r="D233" s="77"/>
      <c r="E233" s="77"/>
      <c r="F233" s="77"/>
      <c r="G233" s="77"/>
      <c r="H233" s="77"/>
      <c r="I233" s="77"/>
      <c r="J233" s="77"/>
      <c r="K233" s="78"/>
      <c r="L233" s="79"/>
      <c r="M233" s="77"/>
      <c r="N233" s="80"/>
      <c r="O233" s="77"/>
      <c r="P233" s="77"/>
      <c r="Q233" s="77"/>
      <c r="R233" s="77"/>
      <c r="S233" s="77"/>
      <c r="T233" s="77"/>
      <c r="U233" s="81"/>
      <c r="V233" s="82"/>
      <c r="W233" s="77"/>
      <c r="X233" s="77"/>
      <c r="Y233" s="77"/>
      <c r="Z233" s="77"/>
      <c r="AA233" s="83"/>
      <c r="AB233" s="77" t="str">
        <f t="shared" ca="1" si="22"/>
        <v/>
      </c>
      <c r="AC233" s="84"/>
      <c r="AD233" s="84"/>
      <c r="AE233" s="85"/>
      <c r="AF233" s="84"/>
      <c r="AG233" s="84"/>
      <c r="AH233" s="85"/>
      <c r="AI233" s="85"/>
      <c r="AJ233" s="86">
        <f>IF(OR(Processos!$H233="Alienação",Processos!$H233="Concessão"),"",(N233-AI233)-(AE233+AH233))</f>
        <v>0</v>
      </c>
      <c r="AK233" s="87" t="str">
        <f t="shared" si="23"/>
        <v/>
      </c>
      <c r="AL233" s="79"/>
      <c r="AM233" s="88"/>
      <c r="AN233" s="89"/>
      <c r="AO233" s="90" t="str">
        <f>IF(Tabela1[[#This Row],[Data de aprovação]]="","",Tabela1[[#This Row],[Data de aprovação]]-Tabela1[[#This Row],[Data de abertura]])</f>
        <v/>
      </c>
      <c r="AP233" s="91"/>
      <c r="AMG233" s="93"/>
      <c r="AMH233" s="93"/>
      <c r="AMI233" s="93"/>
      <c r="AMJ233" s="93"/>
    </row>
    <row r="234" spans="1:1024" s="92" customFormat="1" ht="15" customHeight="1" x14ac:dyDescent="0.15">
      <c r="A234" s="74"/>
      <c r="B234" s="75">
        <v>229</v>
      </c>
      <c r="C234" s="76"/>
      <c r="D234" s="77"/>
      <c r="E234" s="77"/>
      <c r="F234" s="77"/>
      <c r="G234" s="77"/>
      <c r="H234" s="77"/>
      <c r="I234" s="77"/>
      <c r="J234" s="77"/>
      <c r="K234" s="78"/>
      <c r="L234" s="79"/>
      <c r="M234" s="77"/>
      <c r="N234" s="80"/>
      <c r="O234" s="77"/>
      <c r="P234" s="77"/>
      <c r="Q234" s="77"/>
      <c r="R234" s="77"/>
      <c r="S234" s="77"/>
      <c r="T234" s="77"/>
      <c r="U234" s="81"/>
      <c r="V234" s="82"/>
      <c r="W234" s="77"/>
      <c r="X234" s="77"/>
      <c r="Y234" s="77"/>
      <c r="Z234" s="77"/>
      <c r="AA234" s="83"/>
      <c r="AB234" s="77" t="str">
        <f t="shared" ca="1" si="22"/>
        <v/>
      </c>
      <c r="AC234" s="84"/>
      <c r="AD234" s="84"/>
      <c r="AE234" s="85"/>
      <c r="AF234" s="84"/>
      <c r="AG234" s="84"/>
      <c r="AH234" s="85"/>
      <c r="AI234" s="85"/>
      <c r="AJ234" s="86">
        <f>IF(OR(Processos!$H234="Alienação",Processos!$H234="Concessão"),"",(N234-AI234)-(AE234+AH234))</f>
        <v>0</v>
      </c>
      <c r="AK234" s="87" t="str">
        <f t="shared" si="23"/>
        <v/>
      </c>
      <c r="AL234" s="79"/>
      <c r="AM234" s="88"/>
      <c r="AN234" s="89"/>
      <c r="AO234" s="90" t="str">
        <f>IF(Tabela1[[#This Row],[Data de aprovação]]="","",Tabela1[[#This Row],[Data de aprovação]]-Tabela1[[#This Row],[Data de abertura]])</f>
        <v/>
      </c>
      <c r="AP234" s="91"/>
      <c r="AMG234" s="93"/>
      <c r="AMH234" s="93"/>
      <c r="AMI234" s="93"/>
      <c r="AMJ234" s="93"/>
    </row>
    <row r="235" spans="1:1024" s="92" customFormat="1" ht="15" customHeight="1" x14ac:dyDescent="0.15">
      <c r="A235" s="74"/>
      <c r="B235" s="75">
        <v>230</v>
      </c>
      <c r="C235" s="76"/>
      <c r="D235" s="77"/>
      <c r="E235" s="77"/>
      <c r="F235" s="77"/>
      <c r="G235" s="77"/>
      <c r="H235" s="77"/>
      <c r="I235" s="77"/>
      <c r="J235" s="77"/>
      <c r="K235" s="78"/>
      <c r="L235" s="79"/>
      <c r="M235" s="77"/>
      <c r="N235" s="80"/>
      <c r="O235" s="77"/>
      <c r="P235" s="77"/>
      <c r="Q235" s="77"/>
      <c r="R235" s="77"/>
      <c r="S235" s="77"/>
      <c r="T235" s="77"/>
      <c r="U235" s="81"/>
      <c r="V235" s="82"/>
      <c r="W235" s="77"/>
      <c r="X235" s="77"/>
      <c r="Y235" s="77"/>
      <c r="Z235" s="77"/>
      <c r="AA235" s="83"/>
      <c r="AB235" s="77" t="str">
        <f t="shared" ca="1" si="22"/>
        <v/>
      </c>
      <c r="AC235" s="84"/>
      <c r="AD235" s="84"/>
      <c r="AE235" s="85"/>
      <c r="AF235" s="84"/>
      <c r="AG235" s="84"/>
      <c r="AH235" s="85"/>
      <c r="AI235" s="85"/>
      <c r="AJ235" s="86">
        <f>IF(OR(Processos!$H235="Alienação",Processos!$H235="Concessão"),"",(N235-AI235)-(AE235+AH235))</f>
        <v>0</v>
      </c>
      <c r="AK235" s="87" t="str">
        <f t="shared" si="23"/>
        <v/>
      </c>
      <c r="AL235" s="79"/>
      <c r="AM235" s="88"/>
      <c r="AN235" s="89"/>
      <c r="AO235" s="90" t="str">
        <f>IF(Tabela1[[#This Row],[Data de aprovação]]="","",Tabela1[[#This Row],[Data de aprovação]]-Tabela1[[#This Row],[Data de abertura]])</f>
        <v/>
      </c>
      <c r="AP235" s="91"/>
      <c r="AMG235" s="93"/>
      <c r="AMH235" s="93"/>
      <c r="AMI235" s="93"/>
      <c r="AMJ235" s="93"/>
    </row>
    <row r="236" spans="1:1024" s="92" customFormat="1" ht="15" customHeight="1" x14ac:dyDescent="0.15">
      <c r="A236" s="74"/>
      <c r="B236" s="75">
        <v>231</v>
      </c>
      <c r="C236" s="76"/>
      <c r="D236" s="77"/>
      <c r="E236" s="77"/>
      <c r="F236" s="77"/>
      <c r="G236" s="77"/>
      <c r="H236" s="77"/>
      <c r="I236" s="77"/>
      <c r="J236" s="77"/>
      <c r="K236" s="78"/>
      <c r="L236" s="79"/>
      <c r="M236" s="77"/>
      <c r="N236" s="80"/>
      <c r="O236" s="77"/>
      <c r="P236" s="77"/>
      <c r="Q236" s="77"/>
      <c r="R236" s="77"/>
      <c r="S236" s="77"/>
      <c r="T236" s="77"/>
      <c r="U236" s="81"/>
      <c r="V236" s="82"/>
      <c r="W236" s="77"/>
      <c r="X236" s="77"/>
      <c r="Y236" s="77"/>
      <c r="Z236" s="77"/>
      <c r="AA236" s="83"/>
      <c r="AB236" s="77" t="str">
        <f t="shared" ca="1" si="22"/>
        <v/>
      </c>
      <c r="AC236" s="84"/>
      <c r="AD236" s="84"/>
      <c r="AE236" s="85"/>
      <c r="AF236" s="84"/>
      <c r="AG236" s="84"/>
      <c r="AH236" s="85"/>
      <c r="AI236" s="85"/>
      <c r="AJ236" s="86">
        <f>IF(OR(Processos!$H236="Alienação",Processos!$H236="Concessão"),"",(N236-AI236)-(AE236+AH236))</f>
        <v>0</v>
      </c>
      <c r="AK236" s="87" t="str">
        <f t="shared" si="23"/>
        <v/>
      </c>
      <c r="AL236" s="79"/>
      <c r="AM236" s="88"/>
      <c r="AN236" s="89"/>
      <c r="AO236" s="90" t="str">
        <f>IF(Tabela1[[#This Row],[Data de aprovação]]="","",Tabela1[[#This Row],[Data de aprovação]]-Tabela1[[#This Row],[Data de abertura]])</f>
        <v/>
      </c>
      <c r="AP236" s="91"/>
      <c r="AMG236" s="93"/>
      <c r="AMH236" s="93"/>
      <c r="AMI236" s="93"/>
      <c r="AMJ236" s="93"/>
    </row>
    <row r="237" spans="1:1024" s="92" customFormat="1" ht="15" customHeight="1" x14ac:dyDescent="0.15">
      <c r="A237" s="74"/>
      <c r="B237" s="75">
        <v>232</v>
      </c>
      <c r="C237" s="76"/>
      <c r="D237" s="77"/>
      <c r="E237" s="77"/>
      <c r="F237" s="77"/>
      <c r="G237" s="77"/>
      <c r="H237" s="77"/>
      <c r="I237" s="77"/>
      <c r="J237" s="77"/>
      <c r="K237" s="78"/>
      <c r="L237" s="79"/>
      <c r="M237" s="77"/>
      <c r="N237" s="80"/>
      <c r="O237" s="77"/>
      <c r="P237" s="77"/>
      <c r="Q237" s="77"/>
      <c r="R237" s="77"/>
      <c r="S237" s="77"/>
      <c r="T237" s="77"/>
      <c r="U237" s="81"/>
      <c r="V237" s="82"/>
      <c r="W237" s="77"/>
      <c r="X237" s="77"/>
      <c r="Y237" s="77"/>
      <c r="Z237" s="77"/>
      <c r="AA237" s="83"/>
      <c r="AB237" s="77" t="str">
        <f t="shared" ca="1" si="22"/>
        <v/>
      </c>
      <c r="AC237" s="84"/>
      <c r="AD237" s="84"/>
      <c r="AE237" s="85"/>
      <c r="AF237" s="84"/>
      <c r="AG237" s="84"/>
      <c r="AH237" s="85"/>
      <c r="AI237" s="85"/>
      <c r="AJ237" s="86">
        <f>IF(OR(Processos!$H237="Alienação",Processos!$H237="Concessão"),"",(N237-AI237)-(AE237+AH237))</f>
        <v>0</v>
      </c>
      <c r="AK237" s="87" t="str">
        <f t="shared" si="23"/>
        <v/>
      </c>
      <c r="AL237" s="79"/>
      <c r="AM237" s="88"/>
      <c r="AN237" s="89"/>
      <c r="AO237" s="90" t="str">
        <f>IF(Tabela1[[#This Row],[Data de aprovação]]="","",Tabela1[[#This Row],[Data de aprovação]]-Tabela1[[#This Row],[Data de abertura]])</f>
        <v/>
      </c>
      <c r="AP237" s="91"/>
      <c r="AMG237" s="93"/>
      <c r="AMH237" s="93"/>
      <c r="AMI237" s="93"/>
      <c r="AMJ237" s="93"/>
    </row>
    <row r="238" spans="1:1024" s="92" customFormat="1" ht="15" customHeight="1" x14ac:dyDescent="0.15">
      <c r="A238" s="74"/>
      <c r="B238" s="75">
        <v>233</v>
      </c>
      <c r="C238" s="76"/>
      <c r="D238" s="77"/>
      <c r="E238" s="77"/>
      <c r="F238" s="77"/>
      <c r="G238" s="77"/>
      <c r="H238" s="77"/>
      <c r="I238" s="77"/>
      <c r="J238" s="77"/>
      <c r="K238" s="78"/>
      <c r="L238" s="79"/>
      <c r="M238" s="77"/>
      <c r="N238" s="80"/>
      <c r="O238" s="77"/>
      <c r="P238" s="77"/>
      <c r="Q238" s="77"/>
      <c r="R238" s="77"/>
      <c r="S238" s="77"/>
      <c r="T238" s="77"/>
      <c r="U238" s="81"/>
      <c r="V238" s="82"/>
      <c r="W238" s="77"/>
      <c r="X238" s="77"/>
      <c r="Y238" s="77"/>
      <c r="Z238" s="77"/>
      <c r="AA238" s="83"/>
      <c r="AB238" s="77" t="str">
        <f t="shared" ca="1" si="22"/>
        <v/>
      </c>
      <c r="AC238" s="84"/>
      <c r="AD238" s="84"/>
      <c r="AE238" s="85"/>
      <c r="AF238" s="84"/>
      <c r="AG238" s="84"/>
      <c r="AH238" s="85"/>
      <c r="AI238" s="85"/>
      <c r="AJ238" s="86">
        <f>IF(OR(Processos!$H238="Alienação",Processos!$H238="Concessão"),"",(N238-AI238)-(AE238+AH238))</f>
        <v>0</v>
      </c>
      <c r="AK238" s="87" t="str">
        <f t="shared" si="23"/>
        <v/>
      </c>
      <c r="AL238" s="79"/>
      <c r="AM238" s="88"/>
      <c r="AN238" s="89"/>
      <c r="AO238" s="90" t="str">
        <f>IF(Tabela1[[#This Row],[Data de aprovação]]="","",Tabela1[[#This Row],[Data de aprovação]]-Tabela1[[#This Row],[Data de abertura]])</f>
        <v/>
      </c>
      <c r="AP238" s="91"/>
      <c r="AMG238" s="93"/>
      <c r="AMH238" s="93"/>
      <c r="AMI238" s="93"/>
      <c r="AMJ238" s="93"/>
    </row>
    <row r="239" spans="1:1024" s="92" customFormat="1" ht="15" customHeight="1" x14ac:dyDescent="0.15">
      <c r="A239" s="74"/>
      <c r="B239" s="75">
        <v>234</v>
      </c>
      <c r="C239" s="76"/>
      <c r="D239" s="77"/>
      <c r="E239" s="77"/>
      <c r="F239" s="77"/>
      <c r="G239" s="77"/>
      <c r="H239" s="77"/>
      <c r="I239" s="77"/>
      <c r="J239" s="77"/>
      <c r="K239" s="78"/>
      <c r="L239" s="79"/>
      <c r="M239" s="77"/>
      <c r="N239" s="80"/>
      <c r="O239" s="77"/>
      <c r="P239" s="77"/>
      <c r="Q239" s="77"/>
      <c r="R239" s="77"/>
      <c r="S239" s="77"/>
      <c r="T239" s="77"/>
      <c r="U239" s="81"/>
      <c r="V239" s="82"/>
      <c r="W239" s="77"/>
      <c r="X239" s="77"/>
      <c r="Y239" s="77"/>
      <c r="Z239" s="77"/>
      <c r="AA239" s="83"/>
      <c r="AB239" s="77" t="str">
        <f t="shared" ca="1" si="22"/>
        <v/>
      </c>
      <c r="AC239" s="84"/>
      <c r="AD239" s="84"/>
      <c r="AE239" s="85"/>
      <c r="AF239" s="84"/>
      <c r="AG239" s="84"/>
      <c r="AH239" s="85"/>
      <c r="AI239" s="85"/>
      <c r="AJ239" s="86">
        <f>IF(OR(Processos!$H239="Alienação",Processos!$H239="Concessão"),"",(N239-AI239)-(AE239+AH239))</f>
        <v>0</v>
      </c>
      <c r="AK239" s="87" t="str">
        <f t="shared" si="23"/>
        <v/>
      </c>
      <c r="AL239" s="79"/>
      <c r="AM239" s="88"/>
      <c r="AN239" s="89"/>
      <c r="AO239" s="90" t="str">
        <f>IF(Tabela1[[#This Row],[Data de aprovação]]="","",Tabela1[[#This Row],[Data de aprovação]]-Tabela1[[#This Row],[Data de abertura]])</f>
        <v/>
      </c>
      <c r="AP239" s="91"/>
      <c r="AMG239" s="93"/>
      <c r="AMH239" s="93"/>
      <c r="AMI239" s="93"/>
      <c r="AMJ239" s="93"/>
    </row>
    <row r="240" spans="1:1024" s="92" customFormat="1" ht="15" customHeight="1" x14ac:dyDescent="0.15">
      <c r="A240" s="74"/>
      <c r="B240" s="75">
        <v>235</v>
      </c>
      <c r="C240" s="76"/>
      <c r="D240" s="77"/>
      <c r="E240" s="77"/>
      <c r="F240" s="77"/>
      <c r="G240" s="77"/>
      <c r="H240" s="77"/>
      <c r="I240" s="77"/>
      <c r="J240" s="77"/>
      <c r="K240" s="78"/>
      <c r="L240" s="79"/>
      <c r="M240" s="77"/>
      <c r="N240" s="80"/>
      <c r="O240" s="77"/>
      <c r="P240" s="77"/>
      <c r="Q240" s="77"/>
      <c r="R240" s="77"/>
      <c r="S240" s="77"/>
      <c r="T240" s="77"/>
      <c r="U240" s="81"/>
      <c r="V240" s="82"/>
      <c r="W240" s="77"/>
      <c r="X240" s="77"/>
      <c r="Y240" s="77"/>
      <c r="Z240" s="77"/>
      <c r="AA240" s="83"/>
      <c r="AB240" s="77" t="str">
        <f t="shared" ca="1" si="22"/>
        <v/>
      </c>
      <c r="AC240" s="84"/>
      <c r="AD240" s="84"/>
      <c r="AE240" s="85"/>
      <c r="AF240" s="84"/>
      <c r="AG240" s="84"/>
      <c r="AH240" s="85"/>
      <c r="AI240" s="85"/>
      <c r="AJ240" s="86">
        <f>IF(OR(Processos!$H240="Alienação",Processos!$H240="Concessão"),"",(N240-AI240)-(AE240+AH240))</f>
        <v>0</v>
      </c>
      <c r="AK240" s="87" t="str">
        <f t="shared" si="23"/>
        <v/>
      </c>
      <c r="AL240" s="79"/>
      <c r="AM240" s="88"/>
      <c r="AN240" s="89"/>
      <c r="AO240" s="90" t="str">
        <f>IF(Tabela1[[#This Row],[Data de aprovação]]="","",Tabela1[[#This Row],[Data de aprovação]]-Tabela1[[#This Row],[Data de abertura]])</f>
        <v/>
      </c>
      <c r="AP240" s="91"/>
      <c r="AMG240" s="93"/>
      <c r="AMH240" s="93"/>
      <c r="AMI240" s="93"/>
      <c r="AMJ240" s="93"/>
    </row>
    <row r="241" spans="1:1024" s="92" customFormat="1" ht="15" customHeight="1" x14ac:dyDescent="0.15">
      <c r="A241" s="74"/>
      <c r="B241" s="75">
        <v>236</v>
      </c>
      <c r="C241" s="76"/>
      <c r="D241" s="77"/>
      <c r="E241" s="77"/>
      <c r="F241" s="77"/>
      <c r="G241" s="77"/>
      <c r="H241" s="77"/>
      <c r="I241" s="77"/>
      <c r="J241" s="77"/>
      <c r="K241" s="78"/>
      <c r="L241" s="79"/>
      <c r="M241" s="77"/>
      <c r="N241" s="80"/>
      <c r="O241" s="77"/>
      <c r="P241" s="77"/>
      <c r="Q241" s="77"/>
      <c r="R241" s="77"/>
      <c r="S241" s="77"/>
      <c r="T241" s="77"/>
      <c r="U241" s="81"/>
      <c r="V241" s="82"/>
      <c r="W241" s="77"/>
      <c r="X241" s="77"/>
      <c r="Y241" s="77"/>
      <c r="Z241" s="77"/>
      <c r="AA241" s="83"/>
      <c r="AB241" s="77" t="str">
        <f t="shared" ca="1" si="22"/>
        <v/>
      </c>
      <c r="AC241" s="84"/>
      <c r="AD241" s="84"/>
      <c r="AE241" s="85"/>
      <c r="AF241" s="84"/>
      <c r="AG241" s="84"/>
      <c r="AH241" s="85"/>
      <c r="AI241" s="85"/>
      <c r="AJ241" s="86">
        <f>IF(OR(Processos!$H241="Alienação",Processos!$H241="Concessão"),"",(N241-AI241)-(AE241+AH241))</f>
        <v>0</v>
      </c>
      <c r="AK241" s="87" t="str">
        <f t="shared" si="23"/>
        <v/>
      </c>
      <c r="AL241" s="79"/>
      <c r="AM241" s="88"/>
      <c r="AN241" s="89"/>
      <c r="AO241" s="90" t="str">
        <f>IF(Tabela1[[#This Row],[Data de aprovação]]="","",Tabela1[[#This Row],[Data de aprovação]]-Tabela1[[#This Row],[Data de abertura]])</f>
        <v/>
      </c>
      <c r="AP241" s="91"/>
      <c r="AMG241" s="93"/>
      <c r="AMH241" s="93"/>
      <c r="AMI241" s="93"/>
      <c r="AMJ241" s="93"/>
    </row>
    <row r="242" spans="1:1024" s="92" customFormat="1" ht="15" customHeight="1" x14ac:dyDescent="0.15">
      <c r="A242" s="74"/>
      <c r="B242" s="75">
        <v>237</v>
      </c>
      <c r="C242" s="76"/>
      <c r="D242" s="77"/>
      <c r="E242" s="77"/>
      <c r="F242" s="77"/>
      <c r="G242" s="77"/>
      <c r="H242" s="77"/>
      <c r="I242" s="77"/>
      <c r="J242" s="77"/>
      <c r="K242" s="78"/>
      <c r="L242" s="79"/>
      <c r="M242" s="77"/>
      <c r="N242" s="80"/>
      <c r="O242" s="77"/>
      <c r="P242" s="77"/>
      <c r="Q242" s="77"/>
      <c r="R242" s="77"/>
      <c r="S242" s="77"/>
      <c r="T242" s="77"/>
      <c r="U242" s="81"/>
      <c r="V242" s="82"/>
      <c r="W242" s="77"/>
      <c r="X242" s="77"/>
      <c r="Y242" s="77"/>
      <c r="Z242" s="77"/>
      <c r="AA242" s="83"/>
      <c r="AB242" s="77" t="str">
        <f t="shared" ca="1" si="22"/>
        <v/>
      </c>
      <c r="AC242" s="84"/>
      <c r="AD242" s="84"/>
      <c r="AE242" s="85"/>
      <c r="AF242" s="84"/>
      <c r="AG242" s="84"/>
      <c r="AH242" s="85"/>
      <c r="AI242" s="85"/>
      <c r="AJ242" s="86">
        <f>IF(OR(Processos!$H242="Alienação",Processos!$H242="Concessão"),"",(N242-AI242)-(AE242+AH242))</f>
        <v>0</v>
      </c>
      <c r="AK242" s="87" t="str">
        <f t="shared" si="23"/>
        <v/>
      </c>
      <c r="AL242" s="79"/>
      <c r="AM242" s="88"/>
      <c r="AN242" s="89"/>
      <c r="AO242" s="90" t="str">
        <f>IF(Tabela1[[#This Row],[Data de aprovação]]="","",Tabela1[[#This Row],[Data de aprovação]]-Tabela1[[#This Row],[Data de abertura]])</f>
        <v/>
      </c>
      <c r="AP242" s="91"/>
      <c r="AMG242" s="93"/>
      <c r="AMH242" s="93"/>
      <c r="AMI242" s="93"/>
      <c r="AMJ242" s="93"/>
    </row>
    <row r="243" spans="1:1024" s="92" customFormat="1" ht="15" customHeight="1" x14ac:dyDescent="0.15">
      <c r="A243" s="74"/>
      <c r="B243" s="75">
        <v>238</v>
      </c>
      <c r="C243" s="76"/>
      <c r="D243" s="77"/>
      <c r="E243" s="77"/>
      <c r="F243" s="77"/>
      <c r="G243" s="77"/>
      <c r="H243" s="77"/>
      <c r="I243" s="77"/>
      <c r="J243" s="77"/>
      <c r="K243" s="78"/>
      <c r="L243" s="79"/>
      <c r="M243" s="77"/>
      <c r="N243" s="80"/>
      <c r="O243" s="77"/>
      <c r="P243" s="77"/>
      <c r="Q243" s="77"/>
      <c r="R243" s="77"/>
      <c r="S243" s="77"/>
      <c r="T243" s="77"/>
      <c r="U243" s="81"/>
      <c r="V243" s="82"/>
      <c r="W243" s="77"/>
      <c r="X243" s="77"/>
      <c r="Y243" s="77"/>
      <c r="Z243" s="77"/>
      <c r="AA243" s="83"/>
      <c r="AB243" s="77" t="str">
        <f t="shared" ca="1" si="22"/>
        <v/>
      </c>
      <c r="AC243" s="84"/>
      <c r="AD243" s="84"/>
      <c r="AE243" s="85"/>
      <c r="AF243" s="84"/>
      <c r="AG243" s="84"/>
      <c r="AH243" s="85"/>
      <c r="AI243" s="85"/>
      <c r="AJ243" s="86">
        <f>IF(OR(Processos!$H243="Alienação",Processos!$H243="Concessão"),"",(N243-AI243)-(AE243+AH243))</f>
        <v>0</v>
      </c>
      <c r="AK243" s="87" t="str">
        <f t="shared" si="23"/>
        <v/>
      </c>
      <c r="AL243" s="79"/>
      <c r="AM243" s="88"/>
      <c r="AN243" s="89"/>
      <c r="AO243" s="90" t="str">
        <f>IF(Tabela1[[#This Row],[Data de aprovação]]="","",Tabela1[[#This Row],[Data de aprovação]]-Tabela1[[#This Row],[Data de abertura]])</f>
        <v/>
      </c>
      <c r="AP243" s="91"/>
      <c r="AMG243" s="93"/>
      <c r="AMH243" s="93"/>
      <c r="AMI243" s="93"/>
      <c r="AMJ243" s="93"/>
    </row>
    <row r="244" spans="1:1024" s="92" customFormat="1" ht="15" customHeight="1" x14ac:dyDescent="0.15">
      <c r="A244" s="74"/>
      <c r="B244" s="75">
        <v>239</v>
      </c>
      <c r="C244" s="76"/>
      <c r="D244" s="77"/>
      <c r="E244" s="77"/>
      <c r="F244" s="77"/>
      <c r="G244" s="77"/>
      <c r="H244" s="77"/>
      <c r="I244" s="77"/>
      <c r="J244" s="77"/>
      <c r="K244" s="78"/>
      <c r="L244" s="79"/>
      <c r="M244" s="77"/>
      <c r="N244" s="80"/>
      <c r="O244" s="77"/>
      <c r="P244" s="77"/>
      <c r="Q244" s="77"/>
      <c r="R244" s="77"/>
      <c r="S244" s="77"/>
      <c r="T244" s="77"/>
      <c r="U244" s="81"/>
      <c r="V244" s="82"/>
      <c r="W244" s="77"/>
      <c r="X244" s="77"/>
      <c r="Y244" s="77"/>
      <c r="Z244" s="77"/>
      <c r="AA244" s="83"/>
      <c r="AB244" s="77" t="str">
        <f t="shared" ca="1" si="22"/>
        <v/>
      </c>
      <c r="AC244" s="84"/>
      <c r="AD244" s="84"/>
      <c r="AE244" s="85"/>
      <c r="AF244" s="84"/>
      <c r="AG244" s="84"/>
      <c r="AH244" s="85"/>
      <c r="AI244" s="85"/>
      <c r="AJ244" s="86">
        <f>IF(OR(Processos!$H244="Alienação",Processos!$H244="Concessão"),"",(N244-AI244)-(AE244+AH244))</f>
        <v>0</v>
      </c>
      <c r="AK244" s="87" t="str">
        <f t="shared" si="23"/>
        <v/>
      </c>
      <c r="AL244" s="79"/>
      <c r="AM244" s="88"/>
      <c r="AN244" s="89"/>
      <c r="AO244" s="90" t="str">
        <f>IF(Tabela1[[#This Row],[Data de aprovação]]="","",Tabela1[[#This Row],[Data de aprovação]]-Tabela1[[#This Row],[Data de abertura]])</f>
        <v/>
      </c>
      <c r="AP244" s="91"/>
      <c r="AMG244" s="93"/>
      <c r="AMH244" s="93"/>
      <c r="AMI244" s="93"/>
      <c r="AMJ244" s="93"/>
    </row>
    <row r="245" spans="1:1024" s="92" customFormat="1" ht="15" customHeight="1" x14ac:dyDescent="0.15">
      <c r="A245" s="74"/>
      <c r="B245" s="75">
        <v>240</v>
      </c>
      <c r="C245" s="76"/>
      <c r="D245" s="77"/>
      <c r="E245" s="77"/>
      <c r="F245" s="77"/>
      <c r="G245" s="77"/>
      <c r="H245" s="77"/>
      <c r="I245" s="77"/>
      <c r="J245" s="77"/>
      <c r="K245" s="78"/>
      <c r="L245" s="79"/>
      <c r="M245" s="77"/>
      <c r="N245" s="80"/>
      <c r="O245" s="77"/>
      <c r="P245" s="77"/>
      <c r="Q245" s="77"/>
      <c r="R245" s="77"/>
      <c r="S245" s="77"/>
      <c r="T245" s="77"/>
      <c r="U245" s="81"/>
      <c r="V245" s="82"/>
      <c r="W245" s="77"/>
      <c r="X245" s="77"/>
      <c r="Y245" s="77"/>
      <c r="Z245" s="77"/>
      <c r="AA245" s="83"/>
      <c r="AB245" s="77" t="str">
        <f t="shared" ca="1" si="22"/>
        <v/>
      </c>
      <c r="AC245" s="84"/>
      <c r="AD245" s="84"/>
      <c r="AE245" s="85"/>
      <c r="AF245" s="84"/>
      <c r="AG245" s="84"/>
      <c r="AH245" s="85"/>
      <c r="AI245" s="85"/>
      <c r="AJ245" s="86">
        <f>IF(OR(Processos!$H245="Alienação",Processos!$H245="Concessão"),"",(N245-AI245)-(AE245+AH245))</f>
        <v>0</v>
      </c>
      <c r="AK245" s="87" t="str">
        <f t="shared" si="23"/>
        <v/>
      </c>
      <c r="AL245" s="79"/>
      <c r="AM245" s="88"/>
      <c r="AN245" s="89"/>
      <c r="AO245" s="90" t="str">
        <f>IF(Tabela1[[#This Row],[Data de aprovação]]="","",Tabela1[[#This Row],[Data de aprovação]]-Tabela1[[#This Row],[Data de abertura]])</f>
        <v/>
      </c>
      <c r="AP245" s="91"/>
      <c r="AMG245" s="93"/>
      <c r="AMH245" s="93"/>
      <c r="AMI245" s="93"/>
      <c r="AMJ245" s="93"/>
    </row>
    <row r="246" spans="1:1024" s="92" customFormat="1" ht="15" customHeight="1" x14ac:dyDescent="0.15">
      <c r="A246" s="74"/>
      <c r="B246" s="75">
        <v>241</v>
      </c>
      <c r="C246" s="76"/>
      <c r="D246" s="77"/>
      <c r="E246" s="77"/>
      <c r="F246" s="77"/>
      <c r="G246" s="77"/>
      <c r="H246" s="77"/>
      <c r="I246" s="77"/>
      <c r="J246" s="77"/>
      <c r="K246" s="78"/>
      <c r="L246" s="79"/>
      <c r="M246" s="77"/>
      <c r="N246" s="80"/>
      <c r="O246" s="77"/>
      <c r="P246" s="77"/>
      <c r="Q246" s="77"/>
      <c r="R246" s="77"/>
      <c r="S246" s="77"/>
      <c r="T246" s="77"/>
      <c r="U246" s="81"/>
      <c r="V246" s="82"/>
      <c r="W246" s="77"/>
      <c r="X246" s="77"/>
      <c r="Y246" s="77"/>
      <c r="Z246" s="77"/>
      <c r="AA246" s="83"/>
      <c r="AB246" s="77" t="str">
        <f t="shared" ca="1" si="22"/>
        <v/>
      </c>
      <c r="AC246" s="84"/>
      <c r="AD246" s="84"/>
      <c r="AE246" s="85"/>
      <c r="AF246" s="84"/>
      <c r="AG246" s="84"/>
      <c r="AH246" s="85"/>
      <c r="AI246" s="85"/>
      <c r="AJ246" s="86">
        <f>IF(OR(Processos!$H246="Alienação",Processos!$H246="Concessão"),"",(N246-AI246)-(AE246+AH246))</f>
        <v>0</v>
      </c>
      <c r="AK246" s="87" t="str">
        <f t="shared" si="23"/>
        <v/>
      </c>
      <c r="AL246" s="79"/>
      <c r="AM246" s="88"/>
      <c r="AN246" s="89"/>
      <c r="AO246" s="90" t="str">
        <f>IF(Tabela1[[#This Row],[Data de aprovação]]="","",Tabela1[[#This Row],[Data de aprovação]]-Tabela1[[#This Row],[Data de abertura]])</f>
        <v/>
      </c>
      <c r="AP246" s="91"/>
      <c r="AMG246" s="93"/>
      <c r="AMH246" s="93"/>
      <c r="AMI246" s="93"/>
      <c r="AMJ246" s="93"/>
    </row>
    <row r="247" spans="1:1024" s="92" customFormat="1" ht="15" customHeight="1" x14ac:dyDescent="0.15">
      <c r="A247" s="74"/>
      <c r="B247" s="75">
        <v>242</v>
      </c>
      <c r="C247" s="76"/>
      <c r="D247" s="77"/>
      <c r="E247" s="77"/>
      <c r="F247" s="77"/>
      <c r="G247" s="77"/>
      <c r="H247" s="77"/>
      <c r="I247" s="77"/>
      <c r="J247" s="77"/>
      <c r="K247" s="78"/>
      <c r="L247" s="79"/>
      <c r="M247" s="77"/>
      <c r="N247" s="80"/>
      <c r="O247" s="77"/>
      <c r="P247" s="77"/>
      <c r="Q247" s="77"/>
      <c r="R247" s="77"/>
      <c r="S247" s="77"/>
      <c r="T247" s="77"/>
      <c r="U247" s="81"/>
      <c r="V247" s="82"/>
      <c r="W247" s="77"/>
      <c r="X247" s="77"/>
      <c r="Y247" s="77"/>
      <c r="Z247" s="77"/>
      <c r="AA247" s="83"/>
      <c r="AB247" s="77" t="str">
        <f t="shared" ca="1" si="22"/>
        <v/>
      </c>
      <c r="AC247" s="84"/>
      <c r="AD247" s="84"/>
      <c r="AE247" s="85"/>
      <c r="AF247" s="84"/>
      <c r="AG247" s="84"/>
      <c r="AH247" s="85"/>
      <c r="AI247" s="85"/>
      <c r="AJ247" s="86">
        <f>IF(OR(Processos!$H247="Alienação",Processos!$H247="Concessão"),"",(N247-AI247)-(AE247+AH247))</f>
        <v>0</v>
      </c>
      <c r="AK247" s="87" t="str">
        <f t="shared" si="23"/>
        <v/>
      </c>
      <c r="AL247" s="79"/>
      <c r="AM247" s="88"/>
      <c r="AN247" s="89"/>
      <c r="AO247" s="90" t="str">
        <f>IF(Tabela1[[#This Row],[Data de aprovação]]="","",Tabela1[[#This Row],[Data de aprovação]]-Tabela1[[#This Row],[Data de abertura]])</f>
        <v/>
      </c>
      <c r="AP247" s="91"/>
      <c r="AMG247" s="93"/>
      <c r="AMH247" s="93"/>
      <c r="AMI247" s="93"/>
      <c r="AMJ247" s="93"/>
    </row>
    <row r="248" spans="1:1024" s="92" customFormat="1" ht="15" customHeight="1" x14ac:dyDescent="0.15">
      <c r="A248" s="74"/>
      <c r="B248" s="75">
        <v>243</v>
      </c>
      <c r="C248" s="76"/>
      <c r="D248" s="77"/>
      <c r="E248" s="77"/>
      <c r="F248" s="77"/>
      <c r="G248" s="77"/>
      <c r="H248" s="77"/>
      <c r="I248" s="77"/>
      <c r="J248" s="77"/>
      <c r="K248" s="78"/>
      <c r="L248" s="79"/>
      <c r="M248" s="77"/>
      <c r="N248" s="80"/>
      <c r="O248" s="77"/>
      <c r="P248" s="77"/>
      <c r="Q248" s="77"/>
      <c r="R248" s="77"/>
      <c r="S248" s="77"/>
      <c r="T248" s="77"/>
      <c r="U248" s="81"/>
      <c r="V248" s="82"/>
      <c r="W248" s="77"/>
      <c r="X248" s="77"/>
      <c r="Y248" s="77"/>
      <c r="Z248" s="77"/>
      <c r="AA248" s="83"/>
      <c r="AB248" s="77" t="str">
        <f t="shared" ca="1" si="22"/>
        <v/>
      </c>
      <c r="AC248" s="84"/>
      <c r="AD248" s="84"/>
      <c r="AE248" s="85"/>
      <c r="AF248" s="84"/>
      <c r="AG248" s="84"/>
      <c r="AH248" s="85"/>
      <c r="AI248" s="85"/>
      <c r="AJ248" s="86">
        <f>IF(OR(Processos!$H248="Alienação",Processos!$H248="Concessão"),"",(N248-AI248)-(AE248+AH248))</f>
        <v>0</v>
      </c>
      <c r="AK248" s="87" t="str">
        <f t="shared" si="23"/>
        <v/>
      </c>
      <c r="AL248" s="79"/>
      <c r="AM248" s="88"/>
      <c r="AN248" s="89"/>
      <c r="AO248" s="90" t="str">
        <f>IF(Tabela1[[#This Row],[Data de aprovação]]="","",Tabela1[[#This Row],[Data de aprovação]]-Tabela1[[#This Row],[Data de abertura]])</f>
        <v/>
      </c>
      <c r="AP248" s="91"/>
      <c r="AMG248" s="93"/>
      <c r="AMH248" s="93"/>
      <c r="AMI248" s="93"/>
      <c r="AMJ248" s="93"/>
    </row>
    <row r="249" spans="1:1024" s="92" customFormat="1" ht="15" customHeight="1" x14ac:dyDescent="0.15">
      <c r="A249" s="74"/>
      <c r="B249" s="75">
        <v>244</v>
      </c>
      <c r="C249" s="76"/>
      <c r="D249" s="77"/>
      <c r="E249" s="77"/>
      <c r="F249" s="77"/>
      <c r="G249" s="77"/>
      <c r="H249" s="77"/>
      <c r="I249" s="77"/>
      <c r="J249" s="77"/>
      <c r="K249" s="78"/>
      <c r="L249" s="79"/>
      <c r="M249" s="77"/>
      <c r="N249" s="80"/>
      <c r="O249" s="77"/>
      <c r="P249" s="77"/>
      <c r="Q249" s="77"/>
      <c r="R249" s="77"/>
      <c r="S249" s="77"/>
      <c r="T249" s="77"/>
      <c r="U249" s="81"/>
      <c r="V249" s="82"/>
      <c r="W249" s="77"/>
      <c r="X249" s="77"/>
      <c r="Y249" s="77"/>
      <c r="Z249" s="77"/>
      <c r="AA249" s="83"/>
      <c r="AB249" s="77" t="str">
        <f t="shared" ca="1" si="22"/>
        <v/>
      </c>
      <c r="AC249" s="84"/>
      <c r="AD249" s="84"/>
      <c r="AE249" s="85"/>
      <c r="AF249" s="84"/>
      <c r="AG249" s="84"/>
      <c r="AH249" s="85"/>
      <c r="AI249" s="85"/>
      <c r="AJ249" s="86">
        <f>IF(OR(Processos!$H249="Alienação",Processos!$H249="Concessão"),"",(N249-AI249)-(AE249+AH249))</f>
        <v>0</v>
      </c>
      <c r="AK249" s="87" t="str">
        <f t="shared" si="23"/>
        <v/>
      </c>
      <c r="AL249" s="79"/>
      <c r="AM249" s="88"/>
      <c r="AN249" s="89"/>
      <c r="AO249" s="90" t="str">
        <f>IF(Tabela1[[#This Row],[Data de aprovação]]="","",Tabela1[[#This Row],[Data de aprovação]]-Tabela1[[#This Row],[Data de abertura]])</f>
        <v/>
      </c>
      <c r="AP249" s="91"/>
      <c r="AMG249" s="93"/>
      <c r="AMH249" s="93"/>
      <c r="AMI249" s="93"/>
      <c r="AMJ249" s="93"/>
    </row>
    <row r="250" spans="1:1024" s="92" customFormat="1" ht="15" customHeight="1" x14ac:dyDescent="0.15">
      <c r="A250" s="74"/>
      <c r="B250" s="75">
        <v>245</v>
      </c>
      <c r="C250" s="76"/>
      <c r="D250" s="77"/>
      <c r="E250" s="77"/>
      <c r="F250" s="77"/>
      <c r="G250" s="77"/>
      <c r="H250" s="77"/>
      <c r="I250" s="77"/>
      <c r="J250" s="77"/>
      <c r="K250" s="78"/>
      <c r="L250" s="79"/>
      <c r="M250" s="77"/>
      <c r="N250" s="80"/>
      <c r="O250" s="77"/>
      <c r="P250" s="77"/>
      <c r="Q250" s="77"/>
      <c r="R250" s="77"/>
      <c r="S250" s="77"/>
      <c r="T250" s="77"/>
      <c r="U250" s="81"/>
      <c r="V250" s="82"/>
      <c r="W250" s="77"/>
      <c r="X250" s="77"/>
      <c r="Y250" s="77"/>
      <c r="Z250" s="77"/>
      <c r="AA250" s="83"/>
      <c r="AB250" s="77" t="str">
        <f t="shared" ca="1" si="22"/>
        <v/>
      </c>
      <c r="AC250" s="84"/>
      <c r="AD250" s="84"/>
      <c r="AE250" s="85"/>
      <c r="AF250" s="84"/>
      <c r="AG250" s="84"/>
      <c r="AH250" s="85"/>
      <c r="AI250" s="85"/>
      <c r="AJ250" s="86">
        <f>IF(OR(Processos!$H250="Alienação",Processos!$H250="Concessão"),"",(N250-AI250)-(AE250+AH250))</f>
        <v>0</v>
      </c>
      <c r="AK250" s="87" t="str">
        <f t="shared" si="23"/>
        <v/>
      </c>
      <c r="AL250" s="79"/>
      <c r="AM250" s="88"/>
      <c r="AN250" s="89"/>
      <c r="AO250" s="90"/>
      <c r="AP250" s="91"/>
      <c r="AMG250" s="93"/>
      <c r="AMH250" s="93"/>
      <c r="AMI250" s="93"/>
      <c r="AMJ250" s="93"/>
    </row>
  </sheetData>
  <sheetProtection password="A31A" sheet="1" objects="1" scenarios="1" selectLockedCells="1" selectUnlockedCells="1"/>
  <mergeCells count="8">
    <mergeCell ref="C2:AN2"/>
    <mergeCell ref="AO2:AP2"/>
    <mergeCell ref="Q4:R4"/>
    <mergeCell ref="S4:T4"/>
    <mergeCell ref="W4:Y4"/>
    <mergeCell ref="AD4:AF4"/>
    <mergeCell ref="AG4:AH4"/>
    <mergeCell ref="AM4:AO4"/>
  </mergeCells>
  <dataValidations count="2">
    <dataValidation type="list" allowBlank="1" showInputMessage="1" showErrorMessage="1" sqref="W6:W250 Q6:Q250 S6:S250">
      <formula1>"Sim,Não"</formula1>
    </dataValidation>
    <dataValidation type="list" allowBlank="1" showInputMessage="1" showErrorMessage="1" sqref="R6:R250 Z6:Z250 X6:X250 T6:T250">
      <formula1>"Sim,Não,N/A"</formula1>
    </dataValidation>
  </dataValidations>
  <pageMargins left="0.51180599999999998" right="0.51180599999999998" top="0.78749999999999998" bottom="0.78749999999999998" header="0.51180599999999998" footer="0.51180599999999998"/>
  <pageSetup paperSize="9" fitToWidth="0" orientation="landscape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2" id="{610C21F9-E8E7-494F-A8CF-083E29DC2150}">
            <xm:f>$AL6='Banco de Dados'!$F$10</xm:f>
            <x14:dxf>
              <fill>
                <patternFill patternType="solid">
                  <bgColor rgb="FF31859C"/>
                </patternFill>
              </fill>
            </x14:dxf>
          </x14:cfRule>
          <xm:sqref>B6:AP106 C107:AP108 C110:AP110 B111:AP250</xm:sqref>
        </x14:conditionalFormatting>
        <x14:conditionalFormatting xmlns:xm="http://schemas.microsoft.com/office/excel/2006/main">
          <x14:cfRule type="expression" priority="23" id="{44EEE2EC-A29E-4A38-8EAA-63F423999E21}">
            <xm:f>$AL6='Banco de Dados'!$F$9</xm:f>
            <x14:dxf>
              <fill>
                <patternFill patternType="solid">
                  <bgColor rgb="FFFABF8F"/>
                </patternFill>
              </fill>
            </x14:dxf>
          </x14:cfRule>
          <xm:sqref>B6:AP106 C107:AP108 C110:AP110 B111:AP250</xm:sqref>
        </x14:conditionalFormatting>
        <x14:conditionalFormatting xmlns:xm="http://schemas.microsoft.com/office/excel/2006/main">
          <x14:cfRule type="expression" priority="24" id="{4C294D60-479F-42AE-9BCD-9EAEE56B062D}">
            <xm:f>$AL6='Banco de Dados'!$F$8</xm:f>
            <x14:dxf>
              <fill>
                <patternFill patternType="solid">
                  <bgColor rgb="FFDA9694"/>
                </patternFill>
              </fill>
            </x14:dxf>
          </x14:cfRule>
          <xm:sqref>B6:AP106 C107:AP108 C110:AP110 B111:AP250</xm:sqref>
        </x14:conditionalFormatting>
        <x14:conditionalFormatting xmlns:xm="http://schemas.microsoft.com/office/excel/2006/main">
          <x14:cfRule type="expression" priority="25" id="{9E635A85-C848-4E1D-AB02-AE9648C2BB6F}">
            <xm:f>$AL6='Banco de Dados'!$F$7</xm:f>
            <x14:dxf>
              <fill>
                <patternFill patternType="solid">
                  <bgColor rgb="FFFAE390"/>
                </patternFill>
              </fill>
            </x14:dxf>
          </x14:cfRule>
          <xm:sqref>B6:AP106 C107:AP108 C110:AP110 B111:AP250</xm:sqref>
        </x14:conditionalFormatting>
        <x14:conditionalFormatting xmlns:xm="http://schemas.microsoft.com/office/excel/2006/main">
          <x14:cfRule type="expression" priority="26" id="{519B4EC9-6BEA-4044-9F0A-46D6807A3698}">
            <xm:f>$AL6='Banco de Dados'!$F$6</xm:f>
            <x14:dxf>
              <fill>
                <patternFill patternType="solid">
                  <bgColor rgb="FFB1A0C7"/>
                </patternFill>
              </fill>
            </x14:dxf>
          </x14:cfRule>
          <xm:sqref>B6:AP106 C107:AP108 C110:AP110 B111:AP250</xm:sqref>
        </x14:conditionalFormatting>
        <x14:conditionalFormatting xmlns:xm="http://schemas.microsoft.com/office/excel/2006/main">
          <x14:cfRule type="expression" priority="27" id="{8DB7E5C1-AD17-4639-A975-56A04E533135}">
            <xm:f>$AL6='Banco de Dados'!$F$5</xm:f>
            <x14:dxf>
              <fill>
                <patternFill patternType="solid">
                  <bgColor rgb="FFBFBFBF"/>
                </patternFill>
              </fill>
            </x14:dxf>
          </x14:cfRule>
          <xm:sqref>B6:AP106 C107:AP108 C110:AP110 B111:AP250</xm:sqref>
        </x14:conditionalFormatting>
        <x14:conditionalFormatting xmlns:xm="http://schemas.microsoft.com/office/excel/2006/main">
          <x14:cfRule type="expression" priority="28" id="{ACE6AD19-ED07-44F3-BA35-9F685157C8D7}">
            <xm:f>$AL6='Banco de Dados'!$F$4</xm:f>
            <x14:dxf>
              <fill>
                <patternFill patternType="solid">
                  <bgColor rgb="FFC4D79B"/>
                </patternFill>
              </fill>
            </x14:dxf>
          </x14:cfRule>
          <xm:sqref>B6:AP106 C107:AP108 C110:AP110 B111:AP250</xm:sqref>
        </x14:conditionalFormatting>
        <x14:conditionalFormatting xmlns:xm="http://schemas.microsoft.com/office/excel/2006/main">
          <x14:cfRule type="expression" priority="63" id="{610C21F9-E8E7-494F-A8CF-083E29DC2150}">
            <xm:f>$AL110='Banco de Dados'!$F$10</xm:f>
            <x14:dxf>
              <fill>
                <patternFill patternType="solid">
                  <bgColor rgb="FF31859C"/>
                </patternFill>
              </fill>
            </x14:dxf>
          </x14:cfRule>
          <xm:sqref>B107</xm:sqref>
        </x14:conditionalFormatting>
        <x14:conditionalFormatting xmlns:xm="http://schemas.microsoft.com/office/excel/2006/main">
          <x14:cfRule type="expression" priority="65" id="{44EEE2EC-A29E-4A38-8EAA-63F423999E21}">
            <xm:f>$AL110='Banco de Dados'!$F$9</xm:f>
            <x14:dxf>
              <fill>
                <patternFill patternType="solid">
                  <bgColor rgb="FFFABF8F"/>
                </patternFill>
              </fill>
            </x14:dxf>
          </x14:cfRule>
          <xm:sqref>B107</xm:sqref>
        </x14:conditionalFormatting>
        <x14:conditionalFormatting xmlns:xm="http://schemas.microsoft.com/office/excel/2006/main">
          <x14:cfRule type="expression" priority="67" id="{4C294D60-479F-42AE-9BCD-9EAEE56B062D}">
            <xm:f>$AL110='Banco de Dados'!$F$8</xm:f>
            <x14:dxf>
              <fill>
                <patternFill patternType="solid">
                  <bgColor rgb="FFDA9694"/>
                </patternFill>
              </fill>
            </x14:dxf>
          </x14:cfRule>
          <xm:sqref>B107</xm:sqref>
        </x14:conditionalFormatting>
        <x14:conditionalFormatting xmlns:xm="http://schemas.microsoft.com/office/excel/2006/main">
          <x14:cfRule type="expression" priority="69" id="{9E635A85-C848-4E1D-AB02-AE9648C2BB6F}">
            <xm:f>$AL110='Banco de Dados'!$F$7</xm:f>
            <x14:dxf>
              <fill>
                <patternFill patternType="solid">
                  <bgColor rgb="FFFAE390"/>
                </patternFill>
              </fill>
            </x14:dxf>
          </x14:cfRule>
          <xm:sqref>B107</xm:sqref>
        </x14:conditionalFormatting>
        <x14:conditionalFormatting xmlns:xm="http://schemas.microsoft.com/office/excel/2006/main">
          <x14:cfRule type="expression" priority="71" id="{519B4EC9-6BEA-4044-9F0A-46D6807A3698}">
            <xm:f>$AL110='Banco de Dados'!$F$6</xm:f>
            <x14:dxf>
              <fill>
                <patternFill patternType="solid">
                  <bgColor rgb="FFB1A0C7"/>
                </patternFill>
              </fill>
            </x14:dxf>
          </x14:cfRule>
          <xm:sqref>B107</xm:sqref>
        </x14:conditionalFormatting>
        <x14:conditionalFormatting xmlns:xm="http://schemas.microsoft.com/office/excel/2006/main">
          <x14:cfRule type="expression" priority="73" id="{8DB7E5C1-AD17-4639-A975-56A04E533135}">
            <xm:f>$AL110='Banco de Dados'!$F$5</xm:f>
            <x14:dxf>
              <fill>
                <patternFill patternType="solid">
                  <bgColor rgb="FFBFBFBF"/>
                </patternFill>
              </fill>
            </x14:dxf>
          </x14:cfRule>
          <xm:sqref>B107</xm:sqref>
        </x14:conditionalFormatting>
        <x14:conditionalFormatting xmlns:xm="http://schemas.microsoft.com/office/excel/2006/main">
          <x14:cfRule type="expression" priority="75" id="{ACE6AD19-ED07-44F3-BA35-9F685157C8D7}">
            <xm:f>$AL110='Banco de Dados'!$F$4</xm:f>
            <x14:dxf>
              <fill>
                <patternFill patternType="solid">
                  <bgColor rgb="FFC4D79B"/>
                </patternFill>
              </fill>
            </x14:dxf>
          </x14:cfRule>
          <xm:sqref>B107</xm:sqref>
        </x14:conditionalFormatting>
        <x14:conditionalFormatting xmlns:xm="http://schemas.microsoft.com/office/excel/2006/main">
          <x14:cfRule type="expression" priority="83" id="{610C21F9-E8E7-494F-A8CF-083E29DC2150}">
            <xm:f>#REF!='Banco de Dados'!$F$10</xm:f>
            <x14:dxf>
              <fill>
                <patternFill patternType="solid">
                  <bgColor rgb="FF31859C"/>
                </patternFill>
              </fill>
            </x14:dxf>
          </x14:cfRule>
          <xm:sqref>B110</xm:sqref>
        </x14:conditionalFormatting>
        <x14:conditionalFormatting xmlns:xm="http://schemas.microsoft.com/office/excel/2006/main">
          <x14:cfRule type="expression" priority="84" id="{44EEE2EC-A29E-4A38-8EAA-63F423999E21}">
            <xm:f>#REF!='Banco de Dados'!$F$9</xm:f>
            <x14:dxf>
              <fill>
                <patternFill patternType="solid">
                  <bgColor rgb="FFFABF8F"/>
                </patternFill>
              </fill>
            </x14:dxf>
          </x14:cfRule>
          <xm:sqref>B110</xm:sqref>
        </x14:conditionalFormatting>
        <x14:conditionalFormatting xmlns:xm="http://schemas.microsoft.com/office/excel/2006/main">
          <x14:cfRule type="expression" priority="85" id="{4C294D60-479F-42AE-9BCD-9EAEE56B062D}">
            <xm:f>#REF!='Banco de Dados'!$F$8</xm:f>
            <x14:dxf>
              <fill>
                <patternFill patternType="solid">
                  <bgColor rgb="FFDA9694"/>
                </patternFill>
              </fill>
            </x14:dxf>
          </x14:cfRule>
          <xm:sqref>B110</xm:sqref>
        </x14:conditionalFormatting>
        <x14:conditionalFormatting xmlns:xm="http://schemas.microsoft.com/office/excel/2006/main">
          <x14:cfRule type="expression" priority="86" id="{9E635A85-C848-4E1D-AB02-AE9648C2BB6F}">
            <xm:f>#REF!='Banco de Dados'!$F$7</xm:f>
            <x14:dxf>
              <fill>
                <patternFill patternType="solid">
                  <bgColor rgb="FFFAE390"/>
                </patternFill>
              </fill>
            </x14:dxf>
          </x14:cfRule>
          <xm:sqref>B110</xm:sqref>
        </x14:conditionalFormatting>
        <x14:conditionalFormatting xmlns:xm="http://schemas.microsoft.com/office/excel/2006/main">
          <x14:cfRule type="expression" priority="87" id="{519B4EC9-6BEA-4044-9F0A-46D6807A3698}">
            <xm:f>#REF!='Banco de Dados'!$F$6</xm:f>
            <x14:dxf>
              <fill>
                <patternFill patternType="solid">
                  <bgColor rgb="FFB1A0C7"/>
                </patternFill>
              </fill>
            </x14:dxf>
          </x14:cfRule>
          <xm:sqref>B110</xm:sqref>
        </x14:conditionalFormatting>
        <x14:conditionalFormatting xmlns:xm="http://schemas.microsoft.com/office/excel/2006/main">
          <x14:cfRule type="expression" priority="88" id="{8DB7E5C1-AD17-4639-A975-56A04E533135}">
            <xm:f>#REF!='Banco de Dados'!$F$5</xm:f>
            <x14:dxf>
              <fill>
                <patternFill patternType="solid">
                  <bgColor rgb="FFBFBFBF"/>
                </patternFill>
              </fill>
            </x14:dxf>
          </x14:cfRule>
          <xm:sqref>B110</xm:sqref>
        </x14:conditionalFormatting>
        <x14:conditionalFormatting xmlns:xm="http://schemas.microsoft.com/office/excel/2006/main">
          <x14:cfRule type="expression" priority="89" id="{ACE6AD19-ED07-44F3-BA35-9F685157C8D7}">
            <xm:f>#REF!='Banco de Dados'!$F$4</xm:f>
            <x14:dxf>
              <fill>
                <patternFill patternType="solid">
                  <bgColor rgb="FFC4D79B"/>
                </patternFill>
              </fill>
            </x14:dxf>
          </x14:cfRule>
          <xm:sqref>B110</xm:sqref>
        </x14:conditionalFormatting>
        <x14:conditionalFormatting xmlns:xm="http://schemas.microsoft.com/office/excel/2006/main">
          <x14:cfRule type="expression" priority="91" id="{610C21F9-E8E7-494F-A8CF-083E29DC2150}">
            <xm:f>#REF!='Banco de Dados'!$F$10</xm:f>
            <x14:dxf>
              <fill>
                <patternFill patternType="solid">
                  <bgColor rgb="FF31859C"/>
                </patternFill>
              </fill>
            </x14:dxf>
          </x14:cfRule>
          <xm:sqref>B108:B109</xm:sqref>
        </x14:conditionalFormatting>
        <x14:conditionalFormatting xmlns:xm="http://schemas.microsoft.com/office/excel/2006/main">
          <x14:cfRule type="expression" priority="93" id="{44EEE2EC-A29E-4A38-8EAA-63F423999E21}">
            <xm:f>#REF!='Banco de Dados'!$F$9</xm:f>
            <x14:dxf>
              <fill>
                <patternFill patternType="solid">
                  <bgColor rgb="FFFABF8F"/>
                </patternFill>
              </fill>
            </x14:dxf>
          </x14:cfRule>
          <xm:sqref>B108:B109</xm:sqref>
        </x14:conditionalFormatting>
        <x14:conditionalFormatting xmlns:xm="http://schemas.microsoft.com/office/excel/2006/main">
          <x14:cfRule type="expression" priority="95" id="{4C294D60-479F-42AE-9BCD-9EAEE56B062D}">
            <xm:f>#REF!='Banco de Dados'!$F$8</xm:f>
            <x14:dxf>
              <fill>
                <patternFill patternType="solid">
                  <bgColor rgb="FFDA9694"/>
                </patternFill>
              </fill>
            </x14:dxf>
          </x14:cfRule>
          <xm:sqref>B108:B109</xm:sqref>
        </x14:conditionalFormatting>
        <x14:conditionalFormatting xmlns:xm="http://schemas.microsoft.com/office/excel/2006/main">
          <x14:cfRule type="expression" priority="97" id="{9E635A85-C848-4E1D-AB02-AE9648C2BB6F}">
            <xm:f>#REF!='Banco de Dados'!$F$7</xm:f>
            <x14:dxf>
              <fill>
                <patternFill patternType="solid">
                  <bgColor rgb="FFFAE390"/>
                </patternFill>
              </fill>
            </x14:dxf>
          </x14:cfRule>
          <xm:sqref>B108:B109</xm:sqref>
        </x14:conditionalFormatting>
        <x14:conditionalFormatting xmlns:xm="http://schemas.microsoft.com/office/excel/2006/main">
          <x14:cfRule type="expression" priority="99" id="{519B4EC9-6BEA-4044-9F0A-46D6807A3698}">
            <xm:f>#REF!='Banco de Dados'!$F$6</xm:f>
            <x14:dxf>
              <fill>
                <patternFill patternType="solid">
                  <bgColor rgb="FFB1A0C7"/>
                </patternFill>
              </fill>
            </x14:dxf>
          </x14:cfRule>
          <xm:sqref>B108:B109</xm:sqref>
        </x14:conditionalFormatting>
        <x14:conditionalFormatting xmlns:xm="http://schemas.microsoft.com/office/excel/2006/main">
          <x14:cfRule type="expression" priority="101" id="{8DB7E5C1-AD17-4639-A975-56A04E533135}">
            <xm:f>#REF!='Banco de Dados'!$F$5</xm:f>
            <x14:dxf>
              <fill>
                <patternFill patternType="solid">
                  <bgColor rgb="FFBFBFBF"/>
                </patternFill>
              </fill>
            </x14:dxf>
          </x14:cfRule>
          <xm:sqref>B108:B109</xm:sqref>
        </x14:conditionalFormatting>
        <x14:conditionalFormatting xmlns:xm="http://schemas.microsoft.com/office/excel/2006/main">
          <x14:cfRule type="expression" priority="103" id="{ACE6AD19-ED07-44F3-BA35-9F685157C8D7}">
            <xm:f>#REF!='Banco de Dados'!$F$4</xm:f>
            <x14:dxf>
              <fill>
                <patternFill patternType="solid">
                  <bgColor rgb="FFC4D79B"/>
                </patternFill>
              </fill>
            </x14:dxf>
          </x14:cfRule>
          <xm:sqref>B108:B109</xm:sqref>
        </x14:conditionalFormatting>
        <x14:conditionalFormatting xmlns:xm="http://schemas.microsoft.com/office/excel/2006/main">
          <x14:cfRule type="expression" priority="15" id="{D239CDC2-224E-4558-A18B-D0378846CF64}">
            <xm:f>$AL109='Banco de Dados'!$F$10</xm:f>
            <x14:dxf>
              <fill>
                <patternFill patternType="solid">
                  <bgColor rgb="FF31859C"/>
                </patternFill>
              </fill>
            </x14:dxf>
          </x14:cfRule>
          <xm:sqref>C109:AP109</xm:sqref>
        </x14:conditionalFormatting>
        <x14:conditionalFormatting xmlns:xm="http://schemas.microsoft.com/office/excel/2006/main">
          <x14:cfRule type="expression" priority="16" id="{8E57BA5B-8C5C-47A7-82F0-F6DBB4B5FE06}">
            <xm:f>$AL109='Banco de Dados'!$F$9</xm:f>
            <x14:dxf>
              <fill>
                <patternFill patternType="solid">
                  <bgColor rgb="FFFABF8F"/>
                </patternFill>
              </fill>
            </x14:dxf>
          </x14:cfRule>
          <xm:sqref>C109:AP109</xm:sqref>
        </x14:conditionalFormatting>
        <x14:conditionalFormatting xmlns:xm="http://schemas.microsoft.com/office/excel/2006/main">
          <x14:cfRule type="expression" priority="17" id="{A920E919-88E0-4E33-8747-10C0E45782B1}">
            <xm:f>$AL109='Banco de Dados'!$F$8</xm:f>
            <x14:dxf>
              <fill>
                <patternFill patternType="solid">
                  <bgColor rgb="FFDA9694"/>
                </patternFill>
              </fill>
            </x14:dxf>
          </x14:cfRule>
          <xm:sqref>C109:AP109</xm:sqref>
        </x14:conditionalFormatting>
        <x14:conditionalFormatting xmlns:xm="http://schemas.microsoft.com/office/excel/2006/main">
          <x14:cfRule type="expression" priority="18" id="{A663B817-6BBD-4884-8610-989216E61DD2}">
            <xm:f>$AL109='Banco de Dados'!$F$7</xm:f>
            <x14:dxf>
              <fill>
                <patternFill patternType="solid">
                  <bgColor rgb="FFFAE390"/>
                </patternFill>
              </fill>
            </x14:dxf>
          </x14:cfRule>
          <xm:sqref>C109:AP109</xm:sqref>
        </x14:conditionalFormatting>
        <x14:conditionalFormatting xmlns:xm="http://schemas.microsoft.com/office/excel/2006/main">
          <x14:cfRule type="expression" priority="19" id="{8DD934A3-7BD9-43F5-B7EA-C4129D2A1973}">
            <xm:f>$AL109='Banco de Dados'!$F$6</xm:f>
            <x14:dxf>
              <fill>
                <patternFill patternType="solid">
                  <bgColor rgb="FFB1A0C7"/>
                </patternFill>
              </fill>
            </x14:dxf>
          </x14:cfRule>
          <xm:sqref>C109:AP109</xm:sqref>
        </x14:conditionalFormatting>
        <x14:conditionalFormatting xmlns:xm="http://schemas.microsoft.com/office/excel/2006/main">
          <x14:cfRule type="expression" priority="20" id="{C6937F66-3DFB-4E00-9D72-11DE68CFD73C}">
            <xm:f>$AL109='Banco de Dados'!$F$5</xm:f>
            <x14:dxf>
              <fill>
                <patternFill patternType="solid">
                  <bgColor rgb="FFBFBFBF"/>
                </patternFill>
              </fill>
            </x14:dxf>
          </x14:cfRule>
          <xm:sqref>C109:AP109</xm:sqref>
        </x14:conditionalFormatting>
        <x14:conditionalFormatting xmlns:xm="http://schemas.microsoft.com/office/excel/2006/main">
          <x14:cfRule type="expression" priority="21" id="{358B5D43-D650-4967-997C-2A6FB9BCB0DC}">
            <xm:f>$AL109='Banco de Dados'!$F$4</xm:f>
            <x14:dxf>
              <fill>
                <patternFill patternType="solid">
                  <bgColor rgb="FFC4D79B"/>
                </patternFill>
              </fill>
            </x14:dxf>
          </x14:cfRule>
          <xm:sqref>C109:AP109</xm:sqref>
        </x14:conditionalFormatting>
        <x14:conditionalFormatting xmlns:xm="http://schemas.microsoft.com/office/excel/2006/main">
          <x14:cfRule type="expression" priority="1" id="{0708C731-4F3F-4C74-959F-EDC2DA2DB355}">
            <xm:f>$AL110='Banco de Dados'!$F$10</xm:f>
            <x14:dxf>
              <fill>
                <patternFill patternType="solid">
                  <bgColor rgb="FF31859C"/>
                </patternFill>
              </fill>
            </x14:dxf>
          </x14:cfRule>
          <xm:sqref>B110</xm:sqref>
        </x14:conditionalFormatting>
        <x14:conditionalFormatting xmlns:xm="http://schemas.microsoft.com/office/excel/2006/main">
          <x14:cfRule type="expression" priority="2" id="{E157A771-4485-49C7-BE0E-E26991C27784}">
            <xm:f>$AL110='Banco de Dados'!$F$9</xm:f>
            <x14:dxf>
              <fill>
                <patternFill patternType="solid">
                  <bgColor rgb="FFFABF8F"/>
                </patternFill>
              </fill>
            </x14:dxf>
          </x14:cfRule>
          <xm:sqref>B110</xm:sqref>
        </x14:conditionalFormatting>
        <x14:conditionalFormatting xmlns:xm="http://schemas.microsoft.com/office/excel/2006/main">
          <x14:cfRule type="expression" priority="3" id="{6D53E502-E5B5-4155-B1F3-64B67CFD11F9}">
            <xm:f>$AL110='Banco de Dados'!$F$8</xm:f>
            <x14:dxf>
              <fill>
                <patternFill patternType="solid">
                  <bgColor rgb="FFDA9694"/>
                </patternFill>
              </fill>
            </x14:dxf>
          </x14:cfRule>
          <xm:sqref>B110</xm:sqref>
        </x14:conditionalFormatting>
        <x14:conditionalFormatting xmlns:xm="http://schemas.microsoft.com/office/excel/2006/main">
          <x14:cfRule type="expression" priority="4" id="{844C2A2E-6E09-4CC7-A5A0-57916AC957C4}">
            <xm:f>$AL110='Banco de Dados'!$F$7</xm:f>
            <x14:dxf>
              <fill>
                <patternFill patternType="solid">
                  <bgColor rgb="FFFAE390"/>
                </patternFill>
              </fill>
            </x14:dxf>
          </x14:cfRule>
          <xm:sqref>B110</xm:sqref>
        </x14:conditionalFormatting>
        <x14:conditionalFormatting xmlns:xm="http://schemas.microsoft.com/office/excel/2006/main">
          <x14:cfRule type="expression" priority="5" id="{9EDDE33F-1C70-49B3-9B66-035BACA39A3A}">
            <xm:f>$AL110='Banco de Dados'!$F$6</xm:f>
            <x14:dxf>
              <fill>
                <patternFill patternType="solid">
                  <bgColor rgb="FFB1A0C7"/>
                </patternFill>
              </fill>
            </x14:dxf>
          </x14:cfRule>
          <xm:sqref>B110</xm:sqref>
        </x14:conditionalFormatting>
        <x14:conditionalFormatting xmlns:xm="http://schemas.microsoft.com/office/excel/2006/main">
          <x14:cfRule type="expression" priority="6" id="{5086E471-A14E-46F6-9B24-3FF64FFF7B57}">
            <xm:f>$AL110='Banco de Dados'!$F$5</xm:f>
            <x14:dxf>
              <fill>
                <patternFill patternType="solid">
                  <bgColor rgb="FFBFBFBF"/>
                </patternFill>
              </fill>
            </x14:dxf>
          </x14:cfRule>
          <xm:sqref>B110</xm:sqref>
        </x14:conditionalFormatting>
        <x14:conditionalFormatting xmlns:xm="http://schemas.microsoft.com/office/excel/2006/main">
          <x14:cfRule type="expression" priority="7" id="{531CB6F1-9414-47C6-AB75-E2B935EF51A1}">
            <xm:f>$AL110='Banco de Dados'!$F$4</xm:f>
            <x14:dxf>
              <fill>
                <patternFill patternType="solid">
                  <bgColor rgb="FFC4D79B"/>
                </patternFill>
              </fill>
            </x14:dxf>
          </x14:cfRule>
          <xm:sqref>B110</xm:sqref>
        </x14:conditionalFormatting>
        <x14:conditionalFormatting xmlns:xm="http://schemas.microsoft.com/office/excel/2006/main">
          <x14:cfRule type="expression" priority="8" id="{5C74D0DD-7B51-43BA-8C19-D109FD8EC1F6}">
            <xm:f>#REF!='Banco de Dados'!$F$10</xm:f>
            <x14:dxf>
              <fill>
                <patternFill patternType="solid">
                  <bgColor rgb="FF31859C"/>
                </patternFill>
              </fill>
            </x14:dxf>
          </x14:cfRule>
          <xm:sqref>B109</xm:sqref>
        </x14:conditionalFormatting>
        <x14:conditionalFormatting xmlns:xm="http://schemas.microsoft.com/office/excel/2006/main">
          <x14:cfRule type="expression" priority="9" id="{A6C5EAAE-4A12-49F9-82E3-7FBA1B6119BD}">
            <xm:f>#REF!='Banco de Dados'!$F$9</xm:f>
            <x14:dxf>
              <fill>
                <patternFill patternType="solid">
                  <bgColor rgb="FFFABF8F"/>
                </patternFill>
              </fill>
            </x14:dxf>
          </x14:cfRule>
          <xm:sqref>B109</xm:sqref>
        </x14:conditionalFormatting>
        <x14:conditionalFormatting xmlns:xm="http://schemas.microsoft.com/office/excel/2006/main">
          <x14:cfRule type="expression" priority="10" id="{0A696FE4-7180-4D2D-A4E0-7FC569ED9A93}">
            <xm:f>#REF!='Banco de Dados'!$F$8</xm:f>
            <x14:dxf>
              <fill>
                <patternFill patternType="solid">
                  <bgColor rgb="FFDA9694"/>
                </patternFill>
              </fill>
            </x14:dxf>
          </x14:cfRule>
          <xm:sqref>B109</xm:sqref>
        </x14:conditionalFormatting>
        <x14:conditionalFormatting xmlns:xm="http://schemas.microsoft.com/office/excel/2006/main">
          <x14:cfRule type="expression" priority="11" id="{8AB7F33E-5A0F-4BE1-A912-EDE25B4DE380}">
            <xm:f>#REF!='Banco de Dados'!$F$7</xm:f>
            <x14:dxf>
              <fill>
                <patternFill patternType="solid">
                  <bgColor rgb="FFFAE390"/>
                </patternFill>
              </fill>
            </x14:dxf>
          </x14:cfRule>
          <xm:sqref>B109</xm:sqref>
        </x14:conditionalFormatting>
        <x14:conditionalFormatting xmlns:xm="http://schemas.microsoft.com/office/excel/2006/main">
          <x14:cfRule type="expression" priority="12" id="{0265E8B6-476E-4D98-BE20-FBA544A8A4EF}">
            <xm:f>#REF!='Banco de Dados'!$F$6</xm:f>
            <x14:dxf>
              <fill>
                <patternFill patternType="solid">
                  <bgColor rgb="FFB1A0C7"/>
                </patternFill>
              </fill>
            </x14:dxf>
          </x14:cfRule>
          <xm:sqref>B109</xm:sqref>
        </x14:conditionalFormatting>
        <x14:conditionalFormatting xmlns:xm="http://schemas.microsoft.com/office/excel/2006/main">
          <x14:cfRule type="expression" priority="13" id="{594A5051-E36B-4EDC-BF62-034226FF94BE}">
            <xm:f>#REF!='Banco de Dados'!$F$5</xm:f>
            <x14:dxf>
              <fill>
                <patternFill patternType="solid">
                  <bgColor rgb="FFBFBFBF"/>
                </patternFill>
              </fill>
            </x14:dxf>
          </x14:cfRule>
          <xm:sqref>B109</xm:sqref>
        </x14:conditionalFormatting>
        <x14:conditionalFormatting xmlns:xm="http://schemas.microsoft.com/office/excel/2006/main">
          <x14:cfRule type="expression" priority="14" id="{0BE101E3-8182-4B2C-A04A-818F13D684A1}">
            <xm:f>#REF!='Banco de Dados'!$F$4</xm:f>
            <x14:dxf>
              <fill>
                <patternFill patternType="solid">
                  <bgColor rgb="FFC4D79B"/>
                </patternFill>
              </fill>
            </x14:dxf>
          </x14:cfRule>
          <xm:sqref>B109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'Banco de Dados'!$H$4:$H$12</xm:f>
          </x14:formula1>
          <xm:sqref>V6:V29 V31:V250</xm:sqref>
        </x14:dataValidation>
        <x14:dataValidation type="list" allowBlank="1" showInputMessage="1" showErrorMessage="1">
          <x14:formula1>
            <xm:f>'Banco de Dados'!$A$2:$A$8</xm:f>
          </x14:formula1>
          <xm:sqref>D6:D250</xm:sqref>
        </x14:dataValidation>
        <x14:dataValidation type="list" allowBlank="1" showInputMessage="1" showErrorMessage="1">
          <x14:formula1>
            <xm:f>'Banco de Dados'!$B$3:$B$7</xm:f>
          </x14:formula1>
          <xm:sqref>E6:E250</xm:sqref>
        </x14:dataValidation>
        <x14:dataValidation type="list" allowBlank="1" showInputMessage="1" showErrorMessage="1">
          <x14:formula1>
            <xm:f>'Banco de Dados'!$C$3:$C$9</xm:f>
          </x14:formula1>
          <xm:sqref>H6:H250</xm:sqref>
        </x14:dataValidation>
        <x14:dataValidation type="list" allowBlank="1" showInputMessage="1" showErrorMessage="1">
          <x14:formula1>
            <xm:f>'Banco de Dados'!$D$3:$D$66</xm:f>
          </x14:formula1>
          <xm:sqref>J6:J250</xm:sqref>
        </x14:dataValidation>
        <x14:dataValidation type="list" allowBlank="1" showInputMessage="1" showErrorMessage="1">
          <x14:formula1>
            <xm:f>'Banco de Dados'!$G$3:$G$36</xm:f>
          </x14:formula1>
          <xm:sqref>L6:L250</xm:sqref>
        </x14:dataValidation>
        <x14:dataValidation type="list" allowBlank="1" showInputMessage="1" showErrorMessage="1">
          <x14:formula1>
            <xm:f>'Banco de Dados'!$E$3:$E$12</xm:f>
          </x14:formula1>
          <xm:sqref>M6:M250</xm:sqref>
        </x14:dataValidation>
        <x14:dataValidation type="list" allowBlank="1" showInputMessage="1" showErrorMessage="1">
          <x14:formula1>
            <xm:f>'Banco de Dados'!$F$3:$F$10</xm:f>
          </x14:formula1>
          <xm:sqref>AL6:AL250</xm:sqref>
        </x14:dataValidation>
      </x14:dataValidations>
    </ext>
    <ext uri="smNativeData">
      <pm:sheetPrefs xmlns:pm="smNativeData" day="1624570504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DC3E6"/>
  </sheetPr>
  <dimension ref="A1:AMJ344"/>
  <sheetViews>
    <sheetView showGridLines="0" zoomScale="80" workbookViewId="0">
      <selection activeCell="Q273" sqref="Q273"/>
    </sheetView>
  </sheetViews>
  <sheetFormatPr defaultRowHeight="16.5" x14ac:dyDescent="0.25"/>
  <cols>
    <col min="1" max="1" width="2.28515625" style="94" customWidth="1"/>
    <col min="2" max="2" width="31.85546875" style="94" customWidth="1"/>
    <col min="3" max="3" width="18.7109375" style="94" customWidth="1"/>
    <col min="4" max="4" width="26.7109375" style="94" customWidth="1"/>
    <col min="5" max="5" width="11.140625" style="94" customWidth="1"/>
    <col min="6" max="6" width="26.7109375" style="94" customWidth="1"/>
    <col min="7" max="7" width="11.140625" style="94" customWidth="1"/>
    <col min="8" max="8" width="26.7109375" style="94" customWidth="1"/>
    <col min="9" max="9" width="11.140625" style="94" customWidth="1"/>
    <col min="10" max="10" width="26.7109375" style="94" customWidth="1"/>
    <col min="11" max="11" width="11.140625" style="94" customWidth="1"/>
    <col min="12" max="12" width="26.7109375" style="94" customWidth="1"/>
    <col min="13" max="13" width="13.28515625" style="94" customWidth="1"/>
    <col min="14" max="23" width="9.140625" style="94" customWidth="1"/>
    <col min="24" max="24" width="2.28515625" style="94" customWidth="1"/>
    <col min="25" max="25" width="9.140625" style="94" customWidth="1"/>
    <col min="26" max="28" width="21.42578125" style="94" customWidth="1"/>
    <col min="29" max="29" width="18.85546875" style="94" customWidth="1"/>
    <col min="30" max="30" width="21.42578125" style="94" customWidth="1"/>
    <col min="31" max="31" width="23.28515625" style="94" customWidth="1"/>
    <col min="32" max="32" width="19.140625" style="94" customWidth="1"/>
    <col min="33" max="33" width="7" style="94" customWidth="1"/>
    <col min="34" max="34" width="10.7109375" style="94" customWidth="1"/>
    <col min="35" max="1024" width="9.140625" style="94" customWidth="1"/>
  </cols>
  <sheetData>
    <row r="1" spans="1:35" x14ac:dyDescent="0.2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6"/>
    </row>
    <row r="2" spans="1:35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6"/>
    </row>
    <row r="3" spans="1:35" x14ac:dyDescent="0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6"/>
    </row>
    <row r="4" spans="1:35" x14ac:dyDescent="0.2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6"/>
    </row>
    <row r="5" spans="1:35" ht="18" x14ac:dyDescent="0.25">
      <c r="A5" s="95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8"/>
      <c r="Z5" s="99"/>
      <c r="AA5" s="99"/>
      <c r="AB5" s="99"/>
      <c r="AC5" s="99"/>
      <c r="AD5" s="99"/>
      <c r="AE5" s="99"/>
      <c r="AF5" s="99"/>
      <c r="AG5" s="99"/>
      <c r="AH5" s="99"/>
      <c r="AI5" s="99"/>
    </row>
    <row r="6" spans="1:35" x14ac:dyDescent="0.25">
      <c r="A6" s="95"/>
      <c r="B6" s="100"/>
      <c r="C6" s="101"/>
      <c r="D6" s="101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95"/>
      <c r="Y6" s="96"/>
    </row>
    <row r="7" spans="1:35" x14ac:dyDescent="0.25">
      <c r="A7" s="95"/>
      <c r="B7" s="102"/>
      <c r="C7" s="103"/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5"/>
      <c r="Y7" s="96"/>
      <c r="Z7" s="106" t="s">
        <v>386</v>
      </c>
      <c r="AA7" s="106"/>
      <c r="AB7" s="106"/>
      <c r="AC7" s="106"/>
      <c r="AD7" s="107"/>
      <c r="AE7" s="107"/>
      <c r="AF7" s="108"/>
      <c r="AG7" s="108"/>
      <c r="AH7" s="108"/>
      <c r="AI7" s="108"/>
    </row>
    <row r="8" spans="1:35" x14ac:dyDescent="0.25">
      <c r="A8" s="95"/>
      <c r="B8" s="109"/>
      <c r="C8" s="16"/>
      <c r="D8" s="16"/>
      <c r="X8" s="105"/>
      <c r="Y8" s="110"/>
    </row>
    <row r="9" spans="1:35" x14ac:dyDescent="0.25">
      <c r="A9" s="95"/>
      <c r="B9" s="109"/>
      <c r="C9" s="16"/>
      <c r="D9" s="16"/>
      <c r="X9" s="105"/>
      <c r="Y9" s="110"/>
      <c r="AC9" s="111" t="s">
        <v>387</v>
      </c>
      <c r="AD9" s="112"/>
      <c r="AE9" s="113" t="s">
        <v>388</v>
      </c>
      <c r="AF9" s="114"/>
      <c r="AG9" s="115"/>
    </row>
    <row r="10" spans="1:35" x14ac:dyDescent="0.25">
      <c r="A10" s="95"/>
      <c r="B10" s="109"/>
      <c r="C10" s="16"/>
      <c r="D10" s="116"/>
      <c r="E10" s="16"/>
      <c r="F10" s="116"/>
      <c r="G10" s="16"/>
      <c r="H10" s="116"/>
      <c r="I10" s="16"/>
      <c r="J10" s="116"/>
      <c r="K10" s="16"/>
      <c r="X10" s="105"/>
      <c r="Y10" s="110"/>
      <c r="AC10" s="117" t="s">
        <v>389</v>
      </c>
      <c r="AD10" s="118" t="s">
        <v>19</v>
      </c>
      <c r="AE10" s="119">
        <v>0</v>
      </c>
      <c r="AF10" s="120" t="s">
        <v>390</v>
      </c>
      <c r="AG10" s="121" t="s">
        <v>391</v>
      </c>
    </row>
    <row r="11" spans="1:35" x14ac:dyDescent="0.25">
      <c r="A11" s="95"/>
      <c r="B11" s="122"/>
      <c r="C11" s="16"/>
      <c r="D11" s="123">
        <v>2015</v>
      </c>
      <c r="F11" s="124">
        <v>2016</v>
      </c>
      <c r="H11" s="124">
        <v>2017</v>
      </c>
      <c r="J11" s="124">
        <v>2018</v>
      </c>
      <c r="L11" s="124">
        <v>2019</v>
      </c>
      <c r="X11" s="105"/>
      <c r="Y11" s="110"/>
      <c r="AC11" s="125" t="s">
        <v>75</v>
      </c>
      <c r="AD11" s="126"/>
      <c r="AE11" s="127">
        <v>3</v>
      </c>
      <c r="AF11" s="128">
        <v>25</v>
      </c>
      <c r="AG11" s="129">
        <v>28</v>
      </c>
    </row>
    <row r="12" spans="1:35" x14ac:dyDescent="0.25">
      <c r="A12" s="95"/>
      <c r="B12" s="122"/>
      <c r="C12" s="16"/>
      <c r="D12" s="16"/>
      <c r="X12" s="105"/>
      <c r="Y12" s="110"/>
      <c r="AC12" s="130"/>
      <c r="AD12" s="131" t="s">
        <v>174</v>
      </c>
      <c r="AE12" s="132">
        <v>1</v>
      </c>
      <c r="AF12" s="133">
        <v>14</v>
      </c>
      <c r="AG12" s="134">
        <v>15</v>
      </c>
    </row>
    <row r="13" spans="1:35" x14ac:dyDescent="0.3">
      <c r="A13" s="95"/>
      <c r="B13" s="135"/>
      <c r="C13" s="21"/>
      <c r="D13" s="16"/>
      <c r="X13" s="105"/>
      <c r="Y13" s="110"/>
      <c r="AC13" s="130"/>
      <c r="AD13" s="131" t="s">
        <v>122</v>
      </c>
      <c r="AE13" s="132"/>
      <c r="AF13" s="133">
        <v>2</v>
      </c>
      <c r="AG13" s="134">
        <v>2</v>
      </c>
    </row>
    <row r="14" spans="1:35" x14ac:dyDescent="0.3">
      <c r="A14" s="95"/>
      <c r="B14" s="135"/>
      <c r="C14" s="21"/>
      <c r="D14" s="16"/>
      <c r="X14" s="105"/>
      <c r="Y14" s="110"/>
      <c r="AC14" s="136"/>
      <c r="AD14" s="137" t="s">
        <v>59</v>
      </c>
      <c r="AE14" s="138">
        <v>2</v>
      </c>
      <c r="AF14" s="139">
        <v>9</v>
      </c>
      <c r="AG14" s="140">
        <v>11</v>
      </c>
    </row>
    <row r="15" spans="1:35" x14ac:dyDescent="0.3">
      <c r="A15" s="95"/>
      <c r="B15" s="135"/>
      <c r="C15" s="21"/>
      <c r="D15" s="16"/>
      <c r="X15" s="105"/>
      <c r="Y15" s="110"/>
      <c r="AC15" s="125" t="s">
        <v>55</v>
      </c>
      <c r="AD15" s="126"/>
      <c r="AE15" s="141">
        <v>1</v>
      </c>
      <c r="AF15" s="141">
        <v>4</v>
      </c>
      <c r="AG15" s="129">
        <v>5</v>
      </c>
    </row>
    <row r="16" spans="1:35" x14ac:dyDescent="0.3">
      <c r="A16" s="95"/>
      <c r="B16" s="135"/>
      <c r="C16" s="21"/>
      <c r="D16" s="16"/>
      <c r="Q16" s="16"/>
      <c r="R16" s="16"/>
      <c r="X16" s="105"/>
      <c r="Y16" s="110"/>
      <c r="AC16" s="136"/>
      <c r="AD16" s="137" t="s">
        <v>59</v>
      </c>
      <c r="AE16" s="142">
        <v>1</v>
      </c>
      <c r="AF16" s="142">
        <v>4</v>
      </c>
      <c r="AG16" s="140">
        <v>5</v>
      </c>
    </row>
    <row r="17" spans="1:33" x14ac:dyDescent="0.3">
      <c r="A17" s="95"/>
      <c r="B17" s="135"/>
      <c r="C17" s="21"/>
      <c r="D17" s="16"/>
      <c r="X17" s="105"/>
      <c r="Y17" s="110"/>
      <c r="AC17" s="125" t="s">
        <v>66</v>
      </c>
      <c r="AD17" s="126"/>
      <c r="AE17" s="127"/>
      <c r="AF17" s="128">
        <v>1</v>
      </c>
      <c r="AG17" s="129">
        <v>1</v>
      </c>
    </row>
    <row r="18" spans="1:33" x14ac:dyDescent="0.3">
      <c r="A18" s="95"/>
      <c r="B18" s="135"/>
      <c r="C18" s="21"/>
      <c r="D18" s="16"/>
      <c r="K18" s="143" t="s">
        <v>392</v>
      </c>
      <c r="L18" s="143" t="s">
        <v>393</v>
      </c>
      <c r="X18" s="105"/>
      <c r="Y18" s="110"/>
      <c r="AC18" s="136"/>
      <c r="AD18" s="137" t="s">
        <v>69</v>
      </c>
      <c r="AE18" s="138"/>
      <c r="AF18" s="139">
        <v>1</v>
      </c>
      <c r="AG18" s="140">
        <v>1</v>
      </c>
    </row>
    <row r="19" spans="1:33" x14ac:dyDescent="0.3">
      <c r="A19" s="95"/>
      <c r="B19" s="135"/>
      <c r="C19" s="21"/>
      <c r="D19" s="16"/>
      <c r="K19" s="144">
        <v>2017</v>
      </c>
      <c r="L19" s="144">
        <v>374</v>
      </c>
      <c r="X19" s="105"/>
      <c r="Y19" s="110"/>
      <c r="AC19" s="125" t="s">
        <v>139</v>
      </c>
      <c r="AD19" s="126"/>
      <c r="AE19" s="141">
        <v>2</v>
      </c>
      <c r="AF19" s="141">
        <v>2</v>
      </c>
      <c r="AG19" s="129">
        <v>4</v>
      </c>
    </row>
    <row r="20" spans="1:33" x14ac:dyDescent="0.25">
      <c r="A20" s="95"/>
      <c r="B20" s="145"/>
      <c r="C20" s="123"/>
      <c r="D20" s="16"/>
      <c r="K20" s="144">
        <v>2018</v>
      </c>
      <c r="L20" s="144">
        <v>397</v>
      </c>
      <c r="X20" s="105"/>
      <c r="Y20" s="110"/>
      <c r="AC20" s="136"/>
      <c r="AD20" s="137" t="s">
        <v>141</v>
      </c>
      <c r="AE20" s="142">
        <v>2</v>
      </c>
      <c r="AF20" s="142">
        <v>2</v>
      </c>
      <c r="AG20" s="140">
        <v>4</v>
      </c>
    </row>
    <row r="21" spans="1:33" x14ac:dyDescent="0.25">
      <c r="A21" s="95"/>
      <c r="B21" s="109"/>
      <c r="C21" s="16"/>
      <c r="D21" s="16"/>
      <c r="K21" s="144">
        <v>2019</v>
      </c>
      <c r="L21" s="144">
        <v>251</v>
      </c>
      <c r="X21" s="105"/>
      <c r="Y21" s="110"/>
      <c r="AC21" s="125" t="s">
        <v>390</v>
      </c>
      <c r="AD21" s="126"/>
      <c r="AE21" s="127"/>
      <c r="AF21" s="128">
        <v>0</v>
      </c>
      <c r="AG21" s="129">
        <v>0</v>
      </c>
    </row>
    <row r="22" spans="1:33" x14ac:dyDescent="0.25">
      <c r="A22" s="95"/>
      <c r="B22" s="109"/>
      <c r="C22" s="16"/>
      <c r="D22" s="16"/>
      <c r="K22" s="144">
        <v>2020</v>
      </c>
      <c r="L22" s="144">
        <v>168</v>
      </c>
      <c r="X22" s="105"/>
      <c r="Y22" s="110"/>
      <c r="AC22" s="136"/>
      <c r="AD22" s="137" t="s">
        <v>390</v>
      </c>
      <c r="AE22" s="138"/>
      <c r="AF22" s="139">
        <v>0</v>
      </c>
      <c r="AG22" s="140">
        <v>0</v>
      </c>
    </row>
    <row r="23" spans="1:33" x14ac:dyDescent="0.25">
      <c r="A23" s="95"/>
      <c r="B23" s="109"/>
      <c r="C23" s="16"/>
      <c r="D23" s="16"/>
      <c r="K23" s="146">
        <v>2021</v>
      </c>
      <c r="L23" s="146">
        <f>COUNTA(Processos!$C$6:$C$250)</f>
        <v>105</v>
      </c>
      <c r="X23" s="105"/>
      <c r="Y23" s="110"/>
      <c r="AC23" s="147" t="s">
        <v>391</v>
      </c>
      <c r="AD23" s="148"/>
      <c r="AE23" s="149">
        <v>6</v>
      </c>
      <c r="AF23" s="150">
        <v>32</v>
      </c>
      <c r="AG23" s="151">
        <v>38</v>
      </c>
    </row>
    <row r="24" spans="1:33" x14ac:dyDescent="0.25">
      <c r="A24" s="95"/>
      <c r="B24" s="109"/>
      <c r="C24" s="16"/>
      <c r="D24" s="16"/>
      <c r="X24" s="105"/>
      <c r="Y24" s="110"/>
    </row>
    <row r="25" spans="1:33" x14ac:dyDescent="0.25">
      <c r="A25" s="95"/>
      <c r="B25" s="109"/>
      <c r="C25" s="16"/>
      <c r="D25" s="16"/>
      <c r="X25" s="105"/>
      <c r="Y25" s="110"/>
    </row>
    <row r="26" spans="1:33" x14ac:dyDescent="0.25">
      <c r="A26" s="95"/>
      <c r="B26" s="152"/>
      <c r="C26" s="153"/>
      <c r="D26" s="153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05"/>
      <c r="Y26" s="110"/>
    </row>
    <row r="27" spans="1:33" x14ac:dyDescent="0.25">
      <c r="A27" s="95"/>
      <c r="B27" s="95"/>
      <c r="C27" s="29"/>
      <c r="D27" s="29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6"/>
      <c r="Z27" s="104"/>
    </row>
    <row r="28" spans="1:33" x14ac:dyDescent="0.25">
      <c r="A28" s="95"/>
      <c r="B28" s="100"/>
      <c r="C28" s="101"/>
      <c r="D28" s="101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95"/>
      <c r="Y28" s="96"/>
      <c r="Z28" s="104"/>
    </row>
    <row r="29" spans="1:33" x14ac:dyDescent="0.25">
      <c r="A29" s="95"/>
      <c r="B29" s="155"/>
      <c r="C29" s="156"/>
      <c r="D29" s="156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X29" s="105"/>
      <c r="Y29" s="96"/>
      <c r="Z29" s="104"/>
    </row>
    <row r="30" spans="1:33" x14ac:dyDescent="0.25">
      <c r="A30" s="95"/>
      <c r="B30" s="109"/>
      <c r="C30" s="16"/>
      <c r="D30" s="16"/>
      <c r="X30" s="105"/>
      <c r="Y30" s="96"/>
      <c r="Z30" s="104"/>
    </row>
    <row r="31" spans="1:33" ht="15" customHeight="1" x14ac:dyDescent="0.25">
      <c r="A31" s="95"/>
      <c r="B31" s="158"/>
      <c r="C31" s="159"/>
      <c r="D31" s="159"/>
      <c r="X31" s="105"/>
      <c r="Y31" s="96"/>
      <c r="Z31" s="104"/>
    </row>
    <row r="32" spans="1:33" ht="15" customHeight="1" x14ac:dyDescent="0.3">
      <c r="A32" s="95"/>
      <c r="B32" s="135"/>
      <c r="C32" s="21"/>
      <c r="D32" s="21"/>
      <c r="F32" s="21"/>
      <c r="G32" s="21"/>
      <c r="H32" s="21"/>
      <c r="X32" s="105"/>
      <c r="Y32" s="96"/>
      <c r="Z32" s="104"/>
    </row>
    <row r="33" spans="1:28" ht="15" customHeight="1" x14ac:dyDescent="0.3">
      <c r="A33" s="95"/>
      <c r="B33" s="135"/>
      <c r="C33" s="21"/>
      <c r="D33" s="21"/>
      <c r="F33" s="21"/>
      <c r="G33" s="21"/>
      <c r="H33" s="160" t="s">
        <v>394</v>
      </c>
      <c r="I33" s="143" t="s">
        <v>395</v>
      </c>
      <c r="J33" s="143" t="s">
        <v>396</v>
      </c>
      <c r="L33" s="161" t="s">
        <v>397</v>
      </c>
      <c r="X33" s="105"/>
      <c r="Y33" s="96"/>
      <c r="Z33" s="104"/>
    </row>
    <row r="34" spans="1:28" ht="15" customHeight="1" x14ac:dyDescent="0.3">
      <c r="A34" s="95"/>
      <c r="B34" s="135"/>
      <c r="C34" s="21"/>
      <c r="D34" s="21"/>
      <c r="F34" s="21"/>
      <c r="G34" s="21"/>
      <c r="H34" s="162" t="str">
        <f>'Banco de Dados'!F4</f>
        <v>Finalizado – Consolidado</v>
      </c>
      <c r="I34" s="144">
        <f>COUNTIF(Processos!$AL$5:$AL$250,Indicadores!H34)</f>
        <v>49</v>
      </c>
      <c r="J34" s="164">
        <f t="shared" ref="J34:J40" si="0">(I34*100)/$I$41/100</f>
        <v>0.90740740740740744</v>
      </c>
      <c r="L34" s="165" t="str">
        <f>INDEX(Tabela2[[#All],[Colunas1]],MATCH(MAX(Tabela2[[#All],[Colunas2]]),Tabela2[[#All],[Colunas2]],0))</f>
        <v>Finalizado – Consolidado</v>
      </c>
      <c r="M34" s="166"/>
      <c r="X34" s="105"/>
      <c r="Y34" s="96"/>
      <c r="Z34" s="104"/>
      <c r="AA34" s="167"/>
      <c r="AB34" s="167"/>
    </row>
    <row r="35" spans="1:28" x14ac:dyDescent="0.3">
      <c r="A35" s="95"/>
      <c r="B35" s="135"/>
      <c r="C35" s="21"/>
      <c r="D35" s="21"/>
      <c r="F35" s="21"/>
      <c r="G35" s="21"/>
      <c r="H35" s="162" t="str">
        <f>'Banco de Dados'!F5</f>
        <v>Finalizado – Arquivado</v>
      </c>
      <c r="I35" s="144">
        <f>COUNTIF(Processos!$AL$5:$AL$250,Indicadores!H35)</f>
        <v>0</v>
      </c>
      <c r="J35" s="164">
        <f t="shared" si="0"/>
        <v>0</v>
      </c>
      <c r="X35" s="105"/>
      <c r="Y35" s="96"/>
      <c r="Z35" s="104"/>
    </row>
    <row r="36" spans="1:28" x14ac:dyDescent="0.3">
      <c r="A36" s="95"/>
      <c r="B36" s="135"/>
      <c r="C36" s="21"/>
      <c r="D36" s="21"/>
      <c r="F36" s="21"/>
      <c r="G36" s="21"/>
      <c r="H36" s="162" t="str">
        <f>'Banco de Dados'!F6</f>
        <v>Finalizado – Cancelado</v>
      </c>
      <c r="I36" s="144">
        <f>COUNTIF(Processos!$AL$5:$AL$250,Indicadores!H36)</f>
        <v>0</v>
      </c>
      <c r="J36" s="164">
        <f t="shared" si="0"/>
        <v>0</v>
      </c>
      <c r="X36" s="105"/>
      <c r="Y36" s="96"/>
      <c r="Z36" s="104"/>
    </row>
    <row r="37" spans="1:28" x14ac:dyDescent="0.3">
      <c r="A37" s="95"/>
      <c r="B37" s="135"/>
      <c r="C37" s="21"/>
      <c r="D37" s="21"/>
      <c r="F37" s="21"/>
      <c r="G37" s="21"/>
      <c r="H37" s="162" t="str">
        <f>'Banco de Dados'!F7</f>
        <v>Finalizado – Deserto</v>
      </c>
      <c r="I37" s="144">
        <f>COUNTIF(Processos!$AL$5:$AL$250,Indicadores!H37)</f>
        <v>1</v>
      </c>
      <c r="J37" s="164">
        <f t="shared" si="0"/>
        <v>1.8518518518518517E-2</v>
      </c>
      <c r="X37" s="105"/>
      <c r="Y37" s="96"/>
      <c r="Z37" s="104"/>
    </row>
    <row r="38" spans="1:28" x14ac:dyDescent="0.3">
      <c r="A38" s="95"/>
      <c r="B38" s="135"/>
      <c r="C38" s="21"/>
      <c r="D38" s="21"/>
      <c r="F38" s="21"/>
      <c r="G38" s="21"/>
      <c r="H38" s="162" t="str">
        <f>'Banco de Dados'!F8</f>
        <v>Finalizado – Fracassado</v>
      </c>
      <c r="I38" s="144">
        <f>COUNTIF(Processos!$AL$5:$AL$250,Indicadores!H38)</f>
        <v>4</v>
      </c>
      <c r="J38" s="164">
        <f t="shared" si="0"/>
        <v>7.407407407407407E-2</v>
      </c>
      <c r="X38" s="105"/>
      <c r="Y38" s="96"/>
      <c r="Z38" s="104"/>
    </row>
    <row r="39" spans="1:28" x14ac:dyDescent="0.3">
      <c r="A39" s="95"/>
      <c r="B39" s="135"/>
      <c r="C39" s="21"/>
      <c r="D39" s="21"/>
      <c r="F39" s="21"/>
      <c r="G39" s="21"/>
      <c r="H39" s="162" t="str">
        <f>'Banco de Dados'!F9</f>
        <v>Finalizado – Revogado</v>
      </c>
      <c r="I39" s="144">
        <f>COUNTIF(Processos!$AL$5:$AL$250,Indicadores!H39)</f>
        <v>0</v>
      </c>
      <c r="J39" s="164">
        <f t="shared" si="0"/>
        <v>0</v>
      </c>
      <c r="X39" s="105"/>
      <c r="Y39" s="96"/>
      <c r="Z39" s="104"/>
    </row>
    <row r="40" spans="1:28" x14ac:dyDescent="0.3">
      <c r="A40" s="95"/>
      <c r="B40" s="135"/>
      <c r="C40" s="21"/>
      <c r="D40" s="21"/>
      <c r="F40" s="21"/>
      <c r="G40" s="21"/>
      <c r="H40" s="162" t="str">
        <f>'Banco de Dados'!F10</f>
        <v>Finalizado – Transportado</v>
      </c>
      <c r="I40" s="144">
        <f>COUNTIF(Processos!$AL$5:$AL$250,Indicadores!H40)</f>
        <v>0</v>
      </c>
      <c r="J40" s="164">
        <f t="shared" si="0"/>
        <v>0</v>
      </c>
      <c r="X40" s="105"/>
      <c r="Y40" s="96"/>
      <c r="Z40" s="104"/>
    </row>
    <row r="41" spans="1:28" x14ac:dyDescent="0.25">
      <c r="A41" s="95"/>
      <c r="B41" s="109"/>
      <c r="H41" s="168" t="s">
        <v>398</v>
      </c>
      <c r="I41" s="169">
        <f>SUM(I34:I40)</f>
        <v>54</v>
      </c>
      <c r="J41" s="14"/>
      <c r="X41" s="105"/>
      <c r="Y41" s="96"/>
      <c r="Z41" s="104"/>
    </row>
    <row r="42" spans="1:28" x14ac:dyDescent="0.25">
      <c r="A42" s="95"/>
      <c r="B42" s="109"/>
      <c r="X42" s="105"/>
      <c r="Y42" s="96"/>
      <c r="Z42" s="104"/>
    </row>
    <row r="43" spans="1:28" x14ac:dyDescent="0.25">
      <c r="A43" s="95"/>
      <c r="B43" s="109"/>
      <c r="X43" s="105"/>
      <c r="Y43" s="96"/>
      <c r="Z43" s="104"/>
    </row>
    <row r="44" spans="1:28" x14ac:dyDescent="0.25">
      <c r="A44" s="95"/>
      <c r="B44" s="109"/>
      <c r="X44" s="105"/>
      <c r="Y44" s="96"/>
      <c r="Z44" s="104"/>
    </row>
    <row r="45" spans="1:28" x14ac:dyDescent="0.25">
      <c r="A45" s="95"/>
      <c r="B45" s="109"/>
      <c r="X45" s="105"/>
      <c r="Y45" s="96"/>
      <c r="Z45" s="104"/>
    </row>
    <row r="46" spans="1:28" x14ac:dyDescent="0.25">
      <c r="A46" s="95"/>
      <c r="B46" s="109"/>
      <c r="X46" s="105"/>
      <c r="Y46" s="96"/>
      <c r="Z46" s="104"/>
    </row>
    <row r="47" spans="1:28" x14ac:dyDescent="0.25">
      <c r="A47" s="95"/>
      <c r="B47" s="152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05"/>
      <c r="Y47" s="96"/>
      <c r="Z47" s="104"/>
    </row>
    <row r="48" spans="1:28" x14ac:dyDescent="0.25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6"/>
      <c r="Z48" s="104"/>
    </row>
    <row r="49" spans="1:28" x14ac:dyDescent="0.25">
      <c r="A49" s="95"/>
      <c r="B49" s="100"/>
      <c r="C49" s="101"/>
      <c r="D49" s="101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95"/>
      <c r="Y49" s="96"/>
      <c r="Z49" s="104"/>
    </row>
    <row r="50" spans="1:28" x14ac:dyDescent="0.25">
      <c r="A50" s="95"/>
      <c r="B50" s="155"/>
      <c r="C50" s="156"/>
      <c r="D50" s="156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X50" s="105"/>
      <c r="Y50" s="96"/>
      <c r="Z50" s="104"/>
    </row>
    <row r="51" spans="1:28" x14ac:dyDescent="0.25">
      <c r="A51" s="95"/>
      <c r="B51" s="109"/>
      <c r="X51" s="105"/>
      <c r="Y51" s="96"/>
      <c r="Z51" s="104"/>
    </row>
    <row r="52" spans="1:28" x14ac:dyDescent="0.25">
      <c r="A52" s="95"/>
      <c r="B52" s="109"/>
      <c r="X52" s="105"/>
      <c r="Y52" s="96"/>
      <c r="Z52" s="104"/>
    </row>
    <row r="53" spans="1:28" x14ac:dyDescent="0.3">
      <c r="A53" s="95"/>
      <c r="B53" s="135"/>
      <c r="C53" s="21"/>
      <c r="D53" s="21"/>
      <c r="H53" s="170" t="s">
        <v>399</v>
      </c>
      <c r="I53" s="143" t="s">
        <v>395</v>
      </c>
      <c r="J53" s="143" t="s">
        <v>396</v>
      </c>
      <c r="L53" s="161" t="s">
        <v>397</v>
      </c>
      <c r="X53" s="105"/>
      <c r="Y53" s="96"/>
      <c r="Z53" s="104"/>
    </row>
    <row r="54" spans="1:28" x14ac:dyDescent="0.3">
      <c r="A54" s="95"/>
      <c r="B54" s="135"/>
      <c r="C54" s="21"/>
      <c r="D54" s="21"/>
      <c r="H54" s="171" t="str">
        <f>'Banco de Dados'!A5</f>
        <v>Pregão Elet. Conc.</v>
      </c>
      <c r="I54" s="144">
        <f>COUNTIF(Processos!$D$6:$D$249,Indicadores!H54)</f>
        <v>8</v>
      </c>
      <c r="J54" s="164">
        <f>(I54*100)/$I$59/100</f>
        <v>7.6190476190476183E-2</v>
      </c>
      <c r="L54" s="165" t="str">
        <f>INDEX(Tabela3[[#All],[Colunas1]],MATCH(MAX(Tabela3[[#All],[Colunas2]]),Tabela3[[#All],[Colunas2]],0))</f>
        <v>Pregão Elet. - SRP</v>
      </c>
      <c r="M54" s="166"/>
      <c r="X54" s="105"/>
      <c r="Y54" s="96"/>
      <c r="Z54" s="104"/>
      <c r="AA54" s="167"/>
      <c r="AB54" s="167"/>
    </row>
    <row r="55" spans="1:28" x14ac:dyDescent="0.3">
      <c r="A55" s="95"/>
      <c r="B55" s="135"/>
      <c r="C55" s="21"/>
      <c r="D55" s="21"/>
      <c r="H55" s="171" t="str">
        <f>'Banco de Dados'!A4</f>
        <v>Leilão</v>
      </c>
      <c r="I55" s="144">
        <f>COUNTIF(Processos!$D$6:$D$249,Indicadores!H55)</f>
        <v>0</v>
      </c>
      <c r="J55" s="164">
        <f>(I55*100)/$I$59/100</f>
        <v>0</v>
      </c>
      <c r="X55" s="105"/>
      <c r="Y55" s="96"/>
      <c r="Z55" s="104"/>
    </row>
    <row r="56" spans="1:28" x14ac:dyDescent="0.3">
      <c r="A56" s="95"/>
      <c r="B56" s="135"/>
      <c r="C56" s="21"/>
      <c r="D56" s="21"/>
      <c r="H56" s="171" t="str">
        <f>'Banco de Dados'!A6</f>
        <v>Pregão Elet. - SRP</v>
      </c>
      <c r="I56" s="144">
        <f>COUNTIF(Processos!$D$6:$D$249,Indicadores!H56)</f>
        <v>82</v>
      </c>
      <c r="J56" s="164">
        <f>(I56*100)/$I$59/100</f>
        <v>0.78095238095238106</v>
      </c>
      <c r="X56" s="105"/>
      <c r="Y56" s="96"/>
      <c r="Z56" s="104"/>
    </row>
    <row r="57" spans="1:28" x14ac:dyDescent="0.3">
      <c r="A57" s="95"/>
      <c r="B57" s="135"/>
      <c r="C57" s="21"/>
      <c r="D57" s="21"/>
      <c r="H57" s="171" t="str">
        <f>'Banco de Dados'!A7</f>
        <v>Pregão Elet. - Tradicional</v>
      </c>
      <c r="I57" s="144">
        <f>COUNTIF(Processos!$D$6:$D$249,Indicadores!H57)</f>
        <v>6</v>
      </c>
      <c r="J57" s="164">
        <f>(I57*100)/$I$59/100</f>
        <v>5.7142857142857141E-2</v>
      </c>
      <c r="X57" s="105"/>
      <c r="Y57" s="96"/>
      <c r="Z57" s="104"/>
    </row>
    <row r="58" spans="1:28" x14ac:dyDescent="0.3">
      <c r="A58" s="95"/>
      <c r="B58" s="135"/>
      <c r="C58" s="21"/>
      <c r="D58" s="21"/>
      <c r="H58" s="171" t="str">
        <f>'Banco de Dados'!A8</f>
        <v>RDC</v>
      </c>
      <c r="I58" s="144">
        <f>COUNTIF(Processos!$D$6:$D$249,Indicadores!H58)</f>
        <v>9</v>
      </c>
      <c r="J58" s="164">
        <f>(I58*100)/$I$59/100</f>
        <v>8.5714285714285715E-2</v>
      </c>
      <c r="X58" s="105"/>
      <c r="Y58" s="96"/>
      <c r="Z58" s="104"/>
    </row>
    <row r="59" spans="1:28" x14ac:dyDescent="0.3">
      <c r="A59" s="95"/>
      <c r="B59" s="135"/>
      <c r="C59" s="21"/>
      <c r="D59" s="21"/>
      <c r="H59" s="168" t="s">
        <v>398</v>
      </c>
      <c r="I59" s="146">
        <f>SUM(I54:I58)</f>
        <v>105</v>
      </c>
      <c r="J59" s="172"/>
      <c r="X59" s="105"/>
      <c r="Y59" s="96"/>
      <c r="Z59" s="104"/>
    </row>
    <row r="60" spans="1:28" x14ac:dyDescent="0.25">
      <c r="A60" s="95"/>
      <c r="B60" s="109"/>
      <c r="X60" s="105"/>
      <c r="Y60" s="96"/>
      <c r="Z60" s="104"/>
    </row>
    <row r="61" spans="1:28" x14ac:dyDescent="0.25">
      <c r="A61" s="95"/>
      <c r="B61" s="109"/>
      <c r="X61" s="105"/>
      <c r="Y61" s="96"/>
      <c r="Z61" s="104"/>
    </row>
    <row r="62" spans="1:28" x14ac:dyDescent="0.25">
      <c r="A62" s="95"/>
      <c r="B62" s="109"/>
      <c r="X62" s="105"/>
      <c r="Y62" s="96"/>
      <c r="Z62" s="104"/>
    </row>
    <row r="63" spans="1:28" x14ac:dyDescent="0.25">
      <c r="A63" s="95"/>
      <c r="B63" s="109"/>
      <c r="X63" s="105"/>
      <c r="Y63" s="96"/>
      <c r="Z63" s="104"/>
    </row>
    <row r="64" spans="1:28" x14ac:dyDescent="0.25">
      <c r="A64" s="95"/>
      <c r="B64" s="109"/>
      <c r="X64" s="105"/>
      <c r="Y64" s="96"/>
      <c r="Z64" s="104"/>
    </row>
    <row r="65" spans="1:26" x14ac:dyDescent="0.25">
      <c r="A65" s="95"/>
      <c r="B65" s="109"/>
      <c r="X65" s="105"/>
      <c r="Y65" s="96"/>
      <c r="Z65" s="104"/>
    </row>
    <row r="66" spans="1:26" x14ac:dyDescent="0.25">
      <c r="A66" s="95"/>
      <c r="B66" s="109"/>
      <c r="X66" s="105"/>
      <c r="Y66" s="96"/>
      <c r="Z66" s="104"/>
    </row>
    <row r="67" spans="1:26" x14ac:dyDescent="0.25">
      <c r="A67" s="95"/>
      <c r="B67" s="109"/>
      <c r="X67" s="105"/>
      <c r="Y67" s="96"/>
      <c r="Z67" s="104"/>
    </row>
    <row r="68" spans="1:26" x14ac:dyDescent="0.25">
      <c r="A68" s="95"/>
      <c r="B68" s="152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05"/>
      <c r="Y68" s="96"/>
      <c r="Z68" s="104"/>
    </row>
    <row r="69" spans="1:26" x14ac:dyDescent="0.2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6"/>
      <c r="Z69" s="104"/>
    </row>
    <row r="70" spans="1:26" x14ac:dyDescent="0.25">
      <c r="A70" s="95"/>
      <c r="B70" s="100"/>
      <c r="C70" s="101"/>
      <c r="D70" s="101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95"/>
      <c r="Y70" s="96"/>
      <c r="Z70" s="104"/>
    </row>
    <row r="71" spans="1:26" x14ac:dyDescent="0.25">
      <c r="A71" s="95"/>
      <c r="B71" s="155"/>
      <c r="C71" s="156"/>
      <c r="D71" s="156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X71" s="105"/>
      <c r="Y71" s="96"/>
      <c r="Z71" s="104"/>
    </row>
    <row r="72" spans="1:26" x14ac:dyDescent="0.25">
      <c r="A72" s="95"/>
      <c r="B72" s="109"/>
      <c r="X72" s="105"/>
      <c r="Y72" s="96"/>
      <c r="Z72" s="104"/>
    </row>
    <row r="73" spans="1:26" x14ac:dyDescent="0.25">
      <c r="A73" s="95"/>
      <c r="B73" s="109"/>
      <c r="X73" s="105"/>
      <c r="Y73" s="96"/>
      <c r="Z73" s="104"/>
    </row>
    <row r="74" spans="1:26" x14ac:dyDescent="0.25">
      <c r="A74" s="95"/>
      <c r="B74" s="109"/>
      <c r="H74" s="170" t="s">
        <v>399</v>
      </c>
      <c r="I74" s="143" t="s">
        <v>395</v>
      </c>
      <c r="X74" s="105"/>
      <c r="Y74" s="96"/>
      <c r="Z74" s="104"/>
    </row>
    <row r="75" spans="1:26" x14ac:dyDescent="0.3">
      <c r="A75" s="95"/>
      <c r="B75" s="135"/>
      <c r="C75" s="21"/>
      <c r="H75" s="171" t="s">
        <v>400</v>
      </c>
      <c r="I75" s="144">
        <f>SUM(Processos!$O$6:$O$250)</f>
        <v>3550</v>
      </c>
      <c r="X75" s="105"/>
      <c r="Y75" s="96"/>
      <c r="Z75" s="104"/>
    </row>
    <row r="76" spans="1:26" x14ac:dyDescent="0.3">
      <c r="A76" s="95"/>
      <c r="B76" s="135"/>
      <c r="C76" s="21"/>
      <c r="H76" s="171" t="s">
        <v>401</v>
      </c>
      <c r="I76" s="144">
        <f>SUM(Processos!AD:AD)+SUM(Processos!AG:AG)</f>
        <v>783</v>
      </c>
      <c r="X76" s="105"/>
      <c r="Y76" s="96"/>
      <c r="Z76" s="104"/>
    </row>
    <row r="77" spans="1:26" x14ac:dyDescent="0.3">
      <c r="A77" s="95"/>
      <c r="B77" s="135"/>
      <c r="C77" s="21"/>
      <c r="H77" s="173" t="s">
        <v>402</v>
      </c>
      <c r="I77" s="174">
        <f>(I75-I76)/I75</f>
        <v>0.77943661971830991</v>
      </c>
      <c r="X77" s="105"/>
      <c r="Y77" s="96"/>
      <c r="Z77" s="104"/>
    </row>
    <row r="78" spans="1:26" x14ac:dyDescent="0.3">
      <c r="A78" s="95"/>
      <c r="B78" s="135"/>
      <c r="C78" s="21"/>
      <c r="X78" s="105"/>
      <c r="Y78" s="96"/>
      <c r="Z78" s="104"/>
    </row>
    <row r="79" spans="1:26" x14ac:dyDescent="0.25">
      <c r="A79" s="95"/>
      <c r="B79" s="109"/>
      <c r="X79" s="105"/>
      <c r="Y79" s="96"/>
      <c r="Z79" s="104"/>
    </row>
    <row r="80" spans="1:26" x14ac:dyDescent="0.25">
      <c r="A80" s="95"/>
      <c r="B80" s="109"/>
      <c r="X80" s="105"/>
      <c r="Y80" s="96"/>
      <c r="Z80" s="104"/>
    </row>
    <row r="81" spans="1:26" x14ac:dyDescent="0.25">
      <c r="A81" s="95"/>
      <c r="B81" s="109"/>
      <c r="X81" s="105"/>
      <c r="Y81" s="96"/>
      <c r="Z81" s="104"/>
    </row>
    <row r="82" spans="1:26" x14ac:dyDescent="0.25">
      <c r="A82" s="95"/>
      <c r="B82" s="109"/>
      <c r="X82" s="105"/>
      <c r="Y82" s="96"/>
      <c r="Z82" s="104"/>
    </row>
    <row r="83" spans="1:26" x14ac:dyDescent="0.25">
      <c r="A83" s="95"/>
      <c r="B83" s="109"/>
      <c r="X83" s="105"/>
      <c r="Y83" s="96"/>
      <c r="Z83" s="104"/>
    </row>
    <row r="84" spans="1:26" x14ac:dyDescent="0.25">
      <c r="A84" s="95"/>
      <c r="B84" s="109"/>
      <c r="X84" s="105"/>
      <c r="Y84" s="96"/>
      <c r="Z84" s="104"/>
    </row>
    <row r="85" spans="1:26" x14ac:dyDescent="0.25">
      <c r="A85" s="95"/>
      <c r="B85" s="109"/>
      <c r="X85" s="105"/>
      <c r="Y85" s="96"/>
      <c r="Z85" s="104"/>
    </row>
    <row r="86" spans="1:26" x14ac:dyDescent="0.25">
      <c r="A86" s="95"/>
      <c r="B86" s="109"/>
      <c r="X86" s="105"/>
      <c r="Y86" s="96"/>
      <c r="Z86" s="104"/>
    </row>
    <row r="87" spans="1:26" x14ac:dyDescent="0.25">
      <c r="A87" s="95"/>
      <c r="B87" s="109"/>
      <c r="X87" s="105"/>
      <c r="Y87" s="96"/>
      <c r="Z87" s="104"/>
    </row>
    <row r="88" spans="1:26" x14ac:dyDescent="0.25">
      <c r="A88" s="95"/>
      <c r="B88" s="109"/>
      <c r="X88" s="105"/>
      <c r="Y88" s="96"/>
      <c r="Z88" s="104"/>
    </row>
    <row r="89" spans="1:26" x14ac:dyDescent="0.25">
      <c r="A89" s="95"/>
      <c r="B89" s="152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05"/>
      <c r="Y89" s="96"/>
      <c r="Z89" s="104"/>
    </row>
    <row r="90" spans="1:26" x14ac:dyDescent="0.25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6"/>
      <c r="Z90" s="104"/>
    </row>
    <row r="91" spans="1:26" x14ac:dyDescent="0.25">
      <c r="A91" s="95"/>
      <c r="B91" s="100"/>
      <c r="C91" s="101"/>
      <c r="D91" s="101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95"/>
      <c r="Y91" s="96"/>
      <c r="Z91" s="104"/>
    </row>
    <row r="92" spans="1:26" x14ac:dyDescent="0.25">
      <c r="A92" s="95"/>
      <c r="B92" s="155"/>
      <c r="C92" s="156"/>
      <c r="D92" s="156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X92" s="105"/>
      <c r="Y92" s="96"/>
      <c r="Z92" s="104"/>
    </row>
    <row r="93" spans="1:26" x14ac:dyDescent="0.25">
      <c r="A93" s="95"/>
      <c r="B93" s="158"/>
      <c r="C93" s="167"/>
      <c r="D93" s="167"/>
      <c r="H93" s="160" t="s">
        <v>400</v>
      </c>
      <c r="I93" s="143" t="s">
        <v>395</v>
      </c>
      <c r="J93" s="143" t="s">
        <v>396</v>
      </c>
      <c r="X93" s="105"/>
      <c r="Y93" s="96"/>
      <c r="Z93" s="104"/>
    </row>
    <row r="94" spans="1:26" x14ac:dyDescent="0.3">
      <c r="A94" s="95"/>
      <c r="B94" s="135"/>
      <c r="C94" s="21"/>
      <c r="D94" s="21"/>
      <c r="H94" s="171" t="str">
        <f>'Banco de Dados'!C4</f>
        <v>Alienação</v>
      </c>
      <c r="I94" s="144">
        <f ca="1">SUMIF(Processos!$H$6:$AC$249,Tabela11[[#This Row],[Colunas1]],Processos!$O$6:$O$249)</f>
        <v>0</v>
      </c>
      <c r="J94" s="175">
        <f t="shared" ref="J94:J99" ca="1" si="1">(I94*100)/$I$100/100</f>
        <v>0</v>
      </c>
      <c r="X94" s="105"/>
      <c r="Y94" s="96"/>
      <c r="Z94" s="104"/>
    </row>
    <row r="95" spans="1:26" x14ac:dyDescent="0.3">
      <c r="A95" s="95"/>
      <c r="B95" s="135"/>
      <c r="C95" s="21"/>
      <c r="D95" s="21"/>
      <c r="H95" s="171" t="str">
        <f>'Banco de Dados'!C5</f>
        <v>Concessão</v>
      </c>
      <c r="I95" s="144">
        <f ca="1">SUMIF(Processos!$H$6:$AC$249,Tabela11[[#This Row],[Colunas1]],Processos!$O$6:$O$249)</f>
        <v>8</v>
      </c>
      <c r="J95" s="175">
        <f t="shared" ca="1" si="1"/>
        <v>2.2535211267605635E-3</v>
      </c>
      <c r="X95" s="105"/>
      <c r="Y95" s="96"/>
      <c r="Z95" s="104"/>
    </row>
    <row r="96" spans="1:26" x14ac:dyDescent="0.3">
      <c r="A96" s="95"/>
      <c r="B96" s="135"/>
      <c r="C96" s="21"/>
      <c r="D96" s="21"/>
      <c r="H96" s="171" t="str">
        <f>'Banco de Dados'!C6</f>
        <v>Consumo</v>
      </c>
      <c r="I96" s="144">
        <f ca="1">SUMIF(Processos!$H$6:$AC$249,Tabela11[[#This Row],[Colunas1]],Processos!$O$6:$O$249)</f>
        <v>2217</v>
      </c>
      <c r="J96" s="175">
        <f t="shared" ca="1" si="1"/>
        <v>0.62450704225352116</v>
      </c>
      <c r="X96" s="105"/>
      <c r="Y96" s="96"/>
      <c r="Z96" s="104"/>
    </row>
    <row r="97" spans="1:26" x14ac:dyDescent="0.3">
      <c r="A97" s="95"/>
      <c r="B97" s="135"/>
      <c r="C97" s="21"/>
      <c r="D97" s="21"/>
      <c r="H97" s="171" t="str">
        <f>'Banco de Dados'!C7</f>
        <v>Obra/Projeto</v>
      </c>
      <c r="I97" s="144">
        <f ca="1">SUMIF(Processos!$H$6:$AC$249,Tabela11[[#This Row],[Colunas1]],Processos!$O$6:$O$249)</f>
        <v>9</v>
      </c>
      <c r="J97" s="175">
        <f t="shared" ca="1" si="1"/>
        <v>2.5352112676056337E-3</v>
      </c>
      <c r="X97" s="105"/>
      <c r="Y97" s="96"/>
      <c r="Z97" s="104"/>
    </row>
    <row r="98" spans="1:26" x14ac:dyDescent="0.3">
      <c r="A98" s="95"/>
      <c r="B98" s="135"/>
      <c r="C98" s="21"/>
      <c r="D98" s="21"/>
      <c r="H98" s="171" t="str">
        <f>'Banco de Dados'!C8</f>
        <v>Permanente</v>
      </c>
      <c r="I98" s="144">
        <f ca="1">SUMIF(Processos!$H$6:$AC$249,Tabela11[[#This Row],[Colunas1]],Processos!$O$6:$O$249)</f>
        <v>551</v>
      </c>
      <c r="J98" s="175">
        <f t="shared" ca="1" si="1"/>
        <v>0.15521126760563381</v>
      </c>
      <c r="X98" s="105"/>
      <c r="Y98" s="96"/>
      <c r="Z98" s="104"/>
    </row>
    <row r="99" spans="1:26" x14ac:dyDescent="0.3">
      <c r="A99" s="95"/>
      <c r="B99" s="135"/>
      <c r="C99" s="21"/>
      <c r="D99" s="21"/>
      <c r="H99" s="171" t="str">
        <f>'Banco de Dados'!C9</f>
        <v>Serviço</v>
      </c>
      <c r="I99" s="144">
        <f ca="1">SUMIF(Processos!$H$6:$AC$249,Tabela11[[#This Row],[Colunas1]],Processos!$O$6:$O$249)</f>
        <v>765</v>
      </c>
      <c r="J99" s="175">
        <f t="shared" ca="1" si="1"/>
        <v>0.21549295774647889</v>
      </c>
      <c r="X99" s="105"/>
      <c r="Y99" s="96"/>
      <c r="Z99" s="104"/>
    </row>
    <row r="100" spans="1:26" x14ac:dyDescent="0.3">
      <c r="A100" s="95"/>
      <c r="B100" s="135"/>
      <c r="C100" s="21"/>
      <c r="D100" s="21"/>
      <c r="H100" s="168" t="s">
        <v>398</v>
      </c>
      <c r="I100" s="144">
        <f ca="1">SUM(I94:I99)</f>
        <v>3550</v>
      </c>
      <c r="J100" s="176"/>
      <c r="X100" s="105"/>
      <c r="Y100" s="96"/>
      <c r="Z100" s="104"/>
    </row>
    <row r="101" spans="1:26" ht="15" customHeight="1" x14ac:dyDescent="0.3">
      <c r="A101" s="95"/>
      <c r="B101" s="135"/>
      <c r="C101" s="21"/>
      <c r="D101" s="21"/>
      <c r="H101" s="177"/>
      <c r="I101" s="178"/>
      <c r="J101" s="178"/>
      <c r="X101" s="105"/>
      <c r="Y101" s="96"/>
      <c r="Z101" s="104"/>
    </row>
    <row r="102" spans="1:26" x14ac:dyDescent="0.3">
      <c r="A102" s="95"/>
      <c r="B102" s="135"/>
      <c r="C102" s="21"/>
      <c r="D102" s="21"/>
      <c r="H102" s="160" t="s">
        <v>401</v>
      </c>
      <c r="I102" s="143" t="s">
        <v>395</v>
      </c>
      <c r="J102" s="143" t="s">
        <v>396</v>
      </c>
      <c r="X102" s="105"/>
      <c r="Y102" s="96"/>
      <c r="Z102" s="104"/>
    </row>
    <row r="103" spans="1:26" x14ac:dyDescent="0.3">
      <c r="A103" s="95"/>
      <c r="B103" s="135"/>
      <c r="C103" s="21"/>
      <c r="D103" s="21"/>
      <c r="H103" s="171" t="str">
        <f>'Banco de Dados'!C4</f>
        <v>Alienação</v>
      </c>
      <c r="I103" s="144">
        <f ca="1">SUMIF(Processos!$H$6:$AD$249,Tabela12[[#This Row],[Colunas1]],Processos!$AD$6:$AD$249)+SUMIF(Processos!$H$6:$AG$249,Tabela12[[#This Row],[Colunas1]],Processos!$AG$6:$AG$249)</f>
        <v>0</v>
      </c>
      <c r="J103" s="164">
        <f t="shared" ref="J103:J108" ca="1" si="2">IFERROR((I103*100)/$I$109/100,0)</f>
        <v>0</v>
      </c>
      <c r="X103" s="105"/>
      <c r="Y103" s="96"/>
      <c r="Z103" s="104"/>
    </row>
    <row r="104" spans="1:26" x14ac:dyDescent="0.3">
      <c r="A104" s="95"/>
      <c r="B104" s="135"/>
      <c r="C104" s="21"/>
      <c r="D104" s="21"/>
      <c r="H104" s="171" t="str">
        <f>'Banco de Dados'!C5</f>
        <v>Concessão</v>
      </c>
      <c r="I104" s="144">
        <f ca="1">SUMIF(Processos!$H$6:$AD$249,Tabela12[[#This Row],[Colunas1]],Processos!$AD$6:$AD$249)+SUMIF(Processos!$H$6:$AG$249,Tabela12[[#This Row],[Colunas1]],Processos!$AG$6:$AG$249)</f>
        <v>0</v>
      </c>
      <c r="J104" s="164">
        <f t="shared" ca="1" si="2"/>
        <v>0</v>
      </c>
      <c r="X104" s="105"/>
      <c r="Y104" s="96"/>
      <c r="Z104" s="104"/>
    </row>
    <row r="105" spans="1:26" x14ac:dyDescent="0.3">
      <c r="A105" s="95"/>
      <c r="B105" s="135"/>
      <c r="C105" s="21"/>
      <c r="D105" s="21"/>
      <c r="H105" s="171" t="str">
        <f>'Banco de Dados'!C6</f>
        <v>Consumo</v>
      </c>
      <c r="I105" s="144">
        <f ca="1">SUMIF(Processos!$H$6:$AD$249,Tabela12[[#This Row],[Colunas1]],Processos!$AD$6:$AD$249)+SUMIF(Processos!$H$6:$AG$249,Tabela12[[#This Row],[Colunas1]],Processos!$AG$6:$AG$249)</f>
        <v>676</v>
      </c>
      <c r="J105" s="164">
        <f t="shared" ca="1" si="2"/>
        <v>0.86334610472541518</v>
      </c>
      <c r="X105" s="105"/>
      <c r="Y105" s="96"/>
      <c r="Z105" s="104"/>
    </row>
    <row r="106" spans="1:26" x14ac:dyDescent="0.3">
      <c r="A106" s="95"/>
      <c r="B106" s="135"/>
      <c r="C106" s="21"/>
      <c r="D106" s="21"/>
      <c r="H106" s="171" t="str">
        <f>'Banco de Dados'!C7</f>
        <v>Obra/Projeto</v>
      </c>
      <c r="I106" s="144">
        <f ca="1">SUMIF(Processos!$H$6:$AD$249,Tabela12[[#This Row],[Colunas1]],Processos!$AD$6:$AD$249)+SUMIF(Processos!$H$6:$AG$249,Tabela12[[#This Row],[Colunas1]],Processos!$AG$6:$AG$249)</f>
        <v>3</v>
      </c>
      <c r="J106" s="164">
        <f t="shared" ca="1" si="2"/>
        <v>3.831417624521073E-3</v>
      </c>
      <c r="X106" s="105"/>
      <c r="Y106" s="96"/>
      <c r="Z106" s="104"/>
    </row>
    <row r="107" spans="1:26" x14ac:dyDescent="0.3">
      <c r="A107" s="95"/>
      <c r="B107" s="135"/>
      <c r="C107" s="21"/>
      <c r="D107" s="21"/>
      <c r="H107" s="171" t="str">
        <f>'Banco de Dados'!C8</f>
        <v>Permanente</v>
      </c>
      <c r="I107" s="144">
        <f ca="1">SUMIF(Processos!$H$6:$AD$249,Tabela12[[#This Row],[Colunas1]],Processos!$AD$6:$AD$249)+SUMIF(Processos!$H$6:$AG$249,Tabela12[[#This Row],[Colunas1]],Processos!$AG$6:$AG$249)</f>
        <v>104</v>
      </c>
      <c r="J107" s="164">
        <f t="shared" ca="1" si="2"/>
        <v>0.13282247765006386</v>
      </c>
      <c r="X107" s="105"/>
      <c r="Y107" s="96"/>
      <c r="Z107" s="104"/>
    </row>
    <row r="108" spans="1:26" x14ac:dyDescent="0.3">
      <c r="A108" s="95"/>
      <c r="B108" s="135"/>
      <c r="C108" s="21"/>
      <c r="D108" s="21"/>
      <c r="H108" s="171" t="str">
        <f>'Banco de Dados'!C9</f>
        <v>Serviço</v>
      </c>
      <c r="I108" s="144">
        <f ca="1">SUMIF(Processos!$H$6:$AD$249,Tabela12[[#This Row],[Colunas1]],Processos!$AD$6:$AD$249)+SUMIF(Processos!$H$6:$AG$249,Tabela12[[#This Row],[Colunas1]],Processos!$AG$6:$AG$249)</f>
        <v>0</v>
      </c>
      <c r="J108" s="164">
        <f t="shared" ca="1" si="2"/>
        <v>0</v>
      </c>
      <c r="X108" s="105"/>
      <c r="Y108" s="96"/>
      <c r="Z108" s="104"/>
    </row>
    <row r="109" spans="1:26" x14ac:dyDescent="0.3">
      <c r="A109" s="95"/>
      <c r="B109" s="135"/>
      <c r="C109" s="21"/>
      <c r="D109" s="21"/>
      <c r="H109" s="168" t="s">
        <v>398</v>
      </c>
      <c r="I109" s="144">
        <f ca="1">SUM(I103:I108)</f>
        <v>783</v>
      </c>
      <c r="J109" s="172"/>
      <c r="X109" s="105"/>
      <c r="Y109" s="96"/>
      <c r="Z109" s="104"/>
    </row>
    <row r="110" spans="1:26" x14ac:dyDescent="0.3">
      <c r="A110" s="95"/>
      <c r="B110" s="179"/>
      <c r="C110" s="180"/>
      <c r="D110" s="180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05"/>
      <c r="Y110" s="96"/>
      <c r="Z110" s="104"/>
    </row>
    <row r="111" spans="1:26" x14ac:dyDescent="0.25">
      <c r="A111" s="95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6"/>
      <c r="Z111" s="104"/>
    </row>
    <row r="112" spans="1:26" x14ac:dyDescent="0.25">
      <c r="A112" s="95"/>
      <c r="B112" s="100"/>
      <c r="C112" s="101"/>
      <c r="D112" s="101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95"/>
      <c r="Y112" s="96"/>
      <c r="Z112" s="104"/>
    </row>
    <row r="113" spans="1:26" s="104" customFormat="1" x14ac:dyDescent="0.25">
      <c r="A113" s="181"/>
      <c r="B113" s="157"/>
      <c r="C113" s="156"/>
      <c r="D113" s="156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X113" s="105"/>
      <c r="Y113" s="96"/>
    </row>
    <row r="114" spans="1:26" s="104" customFormat="1" x14ac:dyDescent="0.25">
      <c r="A114" s="181"/>
      <c r="B114" s="94"/>
      <c r="C114" s="16"/>
      <c r="D114" s="16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X114" s="105"/>
      <c r="Y114" s="96"/>
    </row>
    <row r="115" spans="1:26" s="104" customFormat="1" x14ac:dyDescent="0.3">
      <c r="A115" s="181"/>
      <c r="B115" s="94"/>
      <c r="C115" s="16"/>
      <c r="D115" s="16"/>
      <c r="E115" s="94"/>
      <c r="F115" s="94"/>
      <c r="G115" s="94"/>
      <c r="H115" s="182"/>
      <c r="I115" s="182"/>
      <c r="J115" s="94"/>
      <c r="K115" s="94"/>
      <c r="L115" s="94"/>
      <c r="M115" s="94"/>
      <c r="N115" s="94"/>
      <c r="O115" s="94"/>
      <c r="P115" s="94"/>
      <c r="Q115" s="94"/>
      <c r="X115" s="105"/>
      <c r="Y115" s="96"/>
    </row>
    <row r="116" spans="1:26" s="104" customFormat="1" x14ac:dyDescent="0.3">
      <c r="A116" s="181"/>
      <c r="B116" s="94"/>
      <c r="C116" s="16"/>
      <c r="D116" s="16"/>
      <c r="E116" s="94"/>
      <c r="F116" s="94"/>
      <c r="G116" s="94"/>
      <c r="H116" s="182"/>
      <c r="I116" s="182"/>
      <c r="J116" s="182"/>
      <c r="K116" s="94"/>
      <c r="L116" s="94"/>
      <c r="M116" s="94"/>
      <c r="N116" s="94"/>
      <c r="O116" s="94"/>
      <c r="P116" s="94"/>
      <c r="Q116" s="94"/>
      <c r="X116" s="105"/>
      <c r="Y116" s="96"/>
    </row>
    <row r="117" spans="1:26" s="104" customFormat="1" x14ac:dyDescent="0.3">
      <c r="A117" s="181"/>
      <c r="B117" s="94"/>
      <c r="C117" s="16"/>
      <c r="D117" s="16"/>
      <c r="E117" s="94"/>
      <c r="F117" s="94"/>
      <c r="G117" s="94"/>
      <c r="H117" s="182"/>
      <c r="I117" s="182"/>
      <c r="J117" s="182"/>
      <c r="K117" s="94"/>
      <c r="L117" s="94"/>
      <c r="M117" s="94"/>
      <c r="N117" s="94"/>
      <c r="O117" s="94"/>
      <c r="P117" s="94"/>
      <c r="Q117" s="94"/>
      <c r="X117" s="105"/>
      <c r="Y117" s="96"/>
    </row>
    <row r="118" spans="1:26" s="104" customFormat="1" x14ac:dyDescent="0.3">
      <c r="A118" s="181"/>
      <c r="H118" s="182"/>
      <c r="I118" s="182"/>
      <c r="J118" s="182"/>
      <c r="X118" s="105"/>
      <c r="Y118" s="96"/>
    </row>
    <row r="119" spans="1:26" x14ac:dyDescent="0.25">
      <c r="A119" s="181"/>
      <c r="X119" s="105"/>
      <c r="Y119" s="96"/>
      <c r="Z119" s="104"/>
    </row>
    <row r="120" spans="1:26" x14ac:dyDescent="0.3">
      <c r="A120" s="181"/>
      <c r="B120" s="21"/>
      <c r="C120" s="21"/>
      <c r="H120" s="21"/>
      <c r="I120" s="21"/>
      <c r="X120" s="105"/>
      <c r="Y120" s="96"/>
      <c r="Z120" s="104"/>
    </row>
    <row r="121" spans="1:26" x14ac:dyDescent="0.3">
      <c r="A121" s="181"/>
      <c r="B121" s="21"/>
      <c r="C121" s="21"/>
      <c r="H121" s="21"/>
      <c r="I121" s="21"/>
      <c r="X121" s="105"/>
      <c r="Y121" s="96"/>
      <c r="Z121" s="104"/>
    </row>
    <row r="122" spans="1:26" x14ac:dyDescent="0.3">
      <c r="A122" s="181"/>
      <c r="B122" s="21"/>
      <c r="C122" s="21"/>
      <c r="H122" s="21"/>
      <c r="I122" s="21"/>
      <c r="X122" s="105"/>
      <c r="Y122" s="96"/>
      <c r="Z122" s="104"/>
    </row>
    <row r="123" spans="1:26" x14ac:dyDescent="0.3">
      <c r="A123" s="181"/>
      <c r="B123" s="21"/>
      <c r="C123" s="21"/>
      <c r="X123" s="105"/>
      <c r="Y123" s="96"/>
      <c r="Z123" s="104"/>
    </row>
    <row r="124" spans="1:26" x14ac:dyDescent="0.25">
      <c r="A124" s="181"/>
      <c r="X124" s="105"/>
      <c r="Y124" s="96"/>
      <c r="Z124" s="104"/>
    </row>
    <row r="125" spans="1:26" x14ac:dyDescent="0.25">
      <c r="A125" s="181"/>
      <c r="X125" s="105"/>
      <c r="Y125" s="96"/>
      <c r="Z125" s="104"/>
    </row>
    <row r="126" spans="1:26" x14ac:dyDescent="0.25">
      <c r="A126" s="181"/>
      <c r="X126" s="105"/>
      <c r="Y126" s="96"/>
      <c r="Z126" s="104"/>
    </row>
    <row r="127" spans="1:26" x14ac:dyDescent="0.25">
      <c r="A127" s="181"/>
      <c r="X127" s="105"/>
      <c r="Y127" s="96"/>
      <c r="Z127" s="104"/>
    </row>
    <row r="128" spans="1:26" x14ac:dyDescent="0.25">
      <c r="A128" s="181"/>
      <c r="X128" s="105"/>
      <c r="Y128" s="96"/>
      <c r="Z128" s="104"/>
    </row>
    <row r="129" spans="1:26" x14ac:dyDescent="0.25">
      <c r="A129" s="181"/>
      <c r="X129" s="105"/>
      <c r="Y129" s="96"/>
      <c r="Z129" s="104"/>
    </row>
    <row r="130" spans="1:26" x14ac:dyDescent="0.25">
      <c r="A130" s="181"/>
      <c r="X130" s="105"/>
      <c r="Y130" s="96"/>
      <c r="Z130" s="104"/>
    </row>
    <row r="131" spans="1:26" x14ac:dyDescent="0.3">
      <c r="A131" s="181"/>
      <c r="B131" s="21"/>
      <c r="C131" s="183" t="s">
        <v>403</v>
      </c>
      <c r="D131" s="143" t="s">
        <v>404</v>
      </c>
      <c r="F131" s="21"/>
      <c r="X131" s="105"/>
      <c r="Y131" s="96"/>
      <c r="Z131" s="104"/>
    </row>
    <row r="132" spans="1:26" x14ac:dyDescent="0.3">
      <c r="A132" s="181"/>
      <c r="B132" s="21"/>
      <c r="C132" s="184" t="s">
        <v>405</v>
      </c>
      <c r="D132" s="185">
        <f>SUMIFS(Processos!N:N,Processos!AL:AL,"&lt;&gt;"&amp;"")-(SUM(Processos!AE:AE)+SUM(Processos!AH:AH))</f>
        <v>70023710.274200007</v>
      </c>
      <c r="F132" s="21"/>
      <c r="X132" s="105"/>
      <c r="Y132" s="96"/>
      <c r="Z132" s="104"/>
    </row>
    <row r="133" spans="1:26" x14ac:dyDescent="0.3">
      <c r="A133" s="181"/>
      <c r="B133" s="21"/>
      <c r="C133" s="184" t="s">
        <v>406</v>
      </c>
      <c r="D133" s="185">
        <f>SUM(Processos!$AI$6:$AI$250)</f>
        <v>50390681.788400002</v>
      </c>
      <c r="F133" s="21"/>
      <c r="X133" s="105"/>
      <c r="Y133" s="96"/>
      <c r="Z133" s="104"/>
    </row>
    <row r="134" spans="1:26" x14ac:dyDescent="0.3">
      <c r="A134" s="181"/>
      <c r="B134" s="21"/>
      <c r="C134" s="186" t="s">
        <v>396</v>
      </c>
      <c r="D134" s="187">
        <f>1-(D133/D132)</f>
        <v>0.28037686676299589</v>
      </c>
      <c r="F134" s="21"/>
      <c r="X134" s="105"/>
      <c r="Y134" s="96"/>
      <c r="Z134" s="104"/>
    </row>
    <row r="135" spans="1:26" x14ac:dyDescent="0.3">
      <c r="A135" s="181"/>
      <c r="B135" s="21"/>
      <c r="C135" s="188"/>
      <c r="D135" s="189"/>
      <c r="F135" s="21"/>
      <c r="X135" s="105"/>
      <c r="Y135" s="96"/>
      <c r="Z135" s="104"/>
    </row>
    <row r="136" spans="1:26" x14ac:dyDescent="0.25">
      <c r="A136" s="181"/>
      <c r="X136" s="105"/>
      <c r="Y136" s="96"/>
      <c r="Z136" s="104"/>
    </row>
    <row r="137" spans="1:26" x14ac:dyDescent="0.25">
      <c r="A137" s="181"/>
      <c r="C137" s="190" t="s">
        <v>407</v>
      </c>
      <c r="D137" s="191"/>
      <c r="E137" s="191"/>
      <c r="F137" s="191"/>
      <c r="G137" s="191"/>
      <c r="H137" s="191"/>
      <c r="I137" s="191"/>
      <c r="J137" s="191"/>
      <c r="K137" s="191"/>
      <c r="L137" s="191"/>
      <c r="M137" s="191"/>
      <c r="N137" s="191"/>
      <c r="O137" s="191"/>
      <c r="P137" s="172"/>
      <c r="Q137" s="172"/>
      <c r="R137" s="172"/>
      <c r="X137" s="105"/>
      <c r="Y137" s="96"/>
      <c r="Z137" s="104"/>
    </row>
    <row r="138" spans="1:26" x14ac:dyDescent="0.25">
      <c r="A138" s="181"/>
      <c r="M138" s="172"/>
      <c r="N138" s="172"/>
      <c r="O138" s="172"/>
      <c r="P138" s="172"/>
      <c r="Q138" s="172"/>
      <c r="R138" s="172"/>
      <c r="X138" s="105"/>
      <c r="Y138" s="96"/>
      <c r="Z138" s="104"/>
    </row>
    <row r="139" spans="1:26" ht="16.5" customHeight="1" x14ac:dyDescent="0.3">
      <c r="A139" s="181"/>
      <c r="M139" s="172"/>
      <c r="N139" s="172"/>
      <c r="O139" s="21"/>
      <c r="P139" s="192"/>
      <c r="Q139" s="192"/>
      <c r="R139" s="192"/>
      <c r="X139" s="105"/>
      <c r="Y139" s="96"/>
      <c r="Z139" s="104"/>
    </row>
    <row r="140" spans="1:26" x14ac:dyDescent="0.25">
      <c r="A140" s="181"/>
      <c r="M140" s="172"/>
      <c r="N140" s="172"/>
      <c r="O140" s="172"/>
      <c r="P140" s="192"/>
      <c r="Q140" s="192"/>
      <c r="R140" s="192"/>
      <c r="X140" s="105"/>
      <c r="Y140" s="96"/>
      <c r="Z140" s="104"/>
    </row>
    <row r="141" spans="1:26" x14ac:dyDescent="0.25">
      <c r="A141" s="181"/>
      <c r="C141" s="172"/>
      <c r="D141" s="193">
        <v>2017</v>
      </c>
      <c r="E141" s="193"/>
      <c r="F141" s="193">
        <v>2018</v>
      </c>
      <c r="G141" s="193"/>
      <c r="H141" s="193">
        <v>2019</v>
      </c>
      <c r="I141" s="193"/>
      <c r="J141" s="193">
        <v>2020</v>
      </c>
      <c r="K141" s="193"/>
      <c r="L141" s="193">
        <v>2021</v>
      </c>
      <c r="M141" s="194"/>
      <c r="N141" s="194"/>
      <c r="O141" s="172"/>
      <c r="P141" s="192"/>
      <c r="Q141" s="192"/>
      <c r="R141" s="192"/>
      <c r="X141" s="105"/>
      <c r="Y141" s="96"/>
      <c r="Z141" s="104"/>
    </row>
    <row r="142" spans="1:26" x14ac:dyDescent="0.25">
      <c r="A142" s="181"/>
      <c r="C142" s="195" t="s">
        <v>405</v>
      </c>
      <c r="D142" s="196">
        <v>168273448.56999999</v>
      </c>
      <c r="E142" s="172"/>
      <c r="F142" s="196">
        <v>250281942.24000001</v>
      </c>
      <c r="G142" s="172"/>
      <c r="H142" s="196">
        <v>245932450.58000001</v>
      </c>
      <c r="I142" s="172"/>
      <c r="J142" s="196">
        <v>152604029.88999996</v>
      </c>
      <c r="K142" s="172"/>
      <c r="L142" s="196">
        <f>D132</f>
        <v>70023710.274200007</v>
      </c>
      <c r="M142" s="194"/>
      <c r="N142" s="194"/>
      <c r="O142" s="172"/>
      <c r="P142" s="192"/>
      <c r="Q142" s="192"/>
      <c r="R142" s="192"/>
      <c r="X142" s="105"/>
      <c r="Y142" s="96"/>
      <c r="Z142" s="104"/>
    </row>
    <row r="143" spans="1:26" x14ac:dyDescent="0.25">
      <c r="A143" s="181"/>
      <c r="C143" s="195" t="s">
        <v>406</v>
      </c>
      <c r="D143" s="196">
        <v>91007128.439999998</v>
      </c>
      <c r="E143" s="172"/>
      <c r="F143" s="196">
        <v>147491991.37</v>
      </c>
      <c r="G143" s="172"/>
      <c r="H143" s="196">
        <v>200040704.22</v>
      </c>
      <c r="I143" s="172"/>
      <c r="J143" s="196">
        <v>62870310.890000001</v>
      </c>
      <c r="K143" s="172"/>
      <c r="L143" s="196">
        <f>D133</f>
        <v>50390681.788400002</v>
      </c>
      <c r="M143" s="194"/>
      <c r="N143" s="194"/>
      <c r="O143" s="172"/>
      <c r="P143" s="192"/>
      <c r="Q143" s="192"/>
      <c r="R143" s="192"/>
      <c r="X143" s="105"/>
      <c r="Y143" s="96"/>
      <c r="Z143" s="104"/>
    </row>
    <row r="144" spans="1:26" x14ac:dyDescent="0.25">
      <c r="A144" s="181"/>
      <c r="C144" s="195" t="s">
        <v>396</v>
      </c>
      <c r="D144" s="197">
        <f>1-(D143/D142)</f>
        <v>0.45917119299934006</v>
      </c>
      <c r="E144" s="172"/>
      <c r="F144" s="197">
        <f>1-(F143/F142)</f>
        <v>0.41069663256581579</v>
      </c>
      <c r="G144" s="172"/>
      <c r="H144" s="197">
        <f>1-(H143/H142)</f>
        <v>0.18660305401654087</v>
      </c>
      <c r="I144" s="172"/>
      <c r="J144" s="197">
        <f>1-(J143/J142)</f>
        <v>0.58801670614256918</v>
      </c>
      <c r="K144" s="172"/>
      <c r="L144" s="197">
        <f>D134</f>
        <v>0.28037686676299589</v>
      </c>
      <c r="M144" s="194"/>
      <c r="N144" s="194"/>
      <c r="O144" s="172"/>
      <c r="P144" s="192"/>
      <c r="Q144" s="192"/>
      <c r="R144" s="192"/>
      <c r="X144" s="105"/>
      <c r="Y144" s="96"/>
      <c r="Z144" s="104"/>
    </row>
    <row r="145" spans="1:26" x14ac:dyDescent="0.25">
      <c r="A145" s="181"/>
      <c r="C145" s="194"/>
      <c r="D145" s="172"/>
      <c r="E145" s="172"/>
      <c r="F145" s="172"/>
      <c r="G145" s="172"/>
      <c r="H145" s="172"/>
      <c r="I145" s="172"/>
      <c r="J145" s="172"/>
      <c r="K145" s="172"/>
      <c r="L145" s="172"/>
      <c r="M145" s="194"/>
      <c r="N145" s="194"/>
      <c r="O145" s="172"/>
      <c r="P145" s="198"/>
      <c r="Q145" s="198"/>
      <c r="R145" s="198"/>
      <c r="X145" s="105"/>
      <c r="Y145" s="96"/>
      <c r="Z145" s="104"/>
    </row>
    <row r="146" spans="1:26" x14ac:dyDescent="0.3">
      <c r="A146" s="181"/>
      <c r="B146" s="21"/>
      <c r="C146" s="199" t="s">
        <v>408</v>
      </c>
      <c r="D146" s="191" t="s">
        <v>409</v>
      </c>
      <c r="E146" s="200"/>
      <c r="F146" s="200"/>
      <c r="G146" s="200"/>
      <c r="H146" s="200"/>
      <c r="I146" s="200"/>
      <c r="J146" s="200"/>
      <c r="K146" s="200"/>
      <c r="L146" s="200"/>
      <c r="M146" s="200"/>
      <c r="N146" s="200"/>
      <c r="O146" s="191"/>
      <c r="P146" s="198"/>
      <c r="Q146" s="198"/>
      <c r="R146" s="198"/>
      <c r="X146" s="105"/>
      <c r="Y146" s="96"/>
      <c r="Z146" s="104"/>
    </row>
    <row r="147" spans="1:26" x14ac:dyDescent="0.3">
      <c r="A147" s="95"/>
      <c r="B147" s="179"/>
      <c r="C147" s="180"/>
      <c r="D147" s="180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  <c r="U147" s="154"/>
      <c r="V147" s="154"/>
      <c r="W147" s="154"/>
      <c r="X147" s="105"/>
      <c r="Y147" s="96"/>
      <c r="Z147" s="104"/>
    </row>
    <row r="148" spans="1:26" ht="15" customHeight="1" x14ac:dyDescent="0.25">
      <c r="A148" s="95"/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6"/>
      <c r="Z148" s="104"/>
    </row>
    <row r="149" spans="1:26" x14ac:dyDescent="0.25">
      <c r="A149" s="95"/>
      <c r="B149" s="100"/>
      <c r="C149" s="101"/>
      <c r="D149" s="101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95"/>
      <c r="Y149" s="96"/>
      <c r="Z149" s="104"/>
    </row>
    <row r="150" spans="1:26" x14ac:dyDescent="0.25">
      <c r="A150" s="181"/>
      <c r="B150" s="155"/>
      <c r="C150" s="156"/>
      <c r="D150" s="156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X150" s="105"/>
      <c r="Y150" s="96"/>
      <c r="Z150" s="104"/>
    </row>
    <row r="151" spans="1:26" x14ac:dyDescent="0.25">
      <c r="A151" s="181"/>
      <c r="B151" s="201" t="s">
        <v>410</v>
      </c>
      <c r="C151" s="202"/>
      <c r="D151" s="202"/>
      <c r="E151" s="202"/>
      <c r="F151" s="202"/>
      <c r="G151" s="202"/>
      <c r="H151" s="202"/>
      <c r="I151" s="202"/>
      <c r="J151" s="202"/>
      <c r="K151" s="202"/>
      <c r="L151" s="202"/>
      <c r="M151" s="202"/>
      <c r="N151" s="202"/>
      <c r="O151" s="202"/>
      <c r="P151" s="202"/>
      <c r="Q151" s="202"/>
      <c r="R151" s="202"/>
      <c r="S151" s="202"/>
      <c r="T151" s="202"/>
      <c r="U151" s="202"/>
      <c r="V151" s="202"/>
      <c r="W151" s="202"/>
      <c r="X151" s="105"/>
      <c r="Y151" s="203"/>
      <c r="Z151" s="204"/>
    </row>
    <row r="152" spans="1:26" x14ac:dyDescent="0.25">
      <c r="A152" s="181"/>
      <c r="J152" s="205"/>
      <c r="K152" s="205"/>
      <c r="L152" s="205"/>
      <c r="X152" s="105"/>
      <c r="Y152" s="96"/>
      <c r="Z152" s="104"/>
    </row>
    <row r="153" spans="1:26" x14ac:dyDescent="0.25">
      <c r="A153" s="181"/>
      <c r="X153" s="105"/>
      <c r="Y153" s="96"/>
      <c r="Z153" s="104"/>
    </row>
    <row r="154" spans="1:26" x14ac:dyDescent="0.3">
      <c r="A154" s="181"/>
      <c r="B154" s="21"/>
      <c r="C154" s="21"/>
      <c r="D154" s="21"/>
      <c r="E154" s="21"/>
      <c r="F154" s="21"/>
      <c r="G154" s="21"/>
      <c r="H154" s="170" t="s">
        <v>15</v>
      </c>
      <c r="I154" s="143" t="s">
        <v>395</v>
      </c>
      <c r="J154" s="143" t="s">
        <v>411</v>
      </c>
      <c r="K154" s="143" t="s">
        <v>412</v>
      </c>
      <c r="X154" s="105"/>
      <c r="Y154" s="96"/>
      <c r="Z154" s="104"/>
    </row>
    <row r="155" spans="1:26" x14ac:dyDescent="0.3">
      <c r="A155" s="181"/>
      <c r="B155" s="21"/>
      <c r="C155" s="21"/>
      <c r="D155" s="21"/>
      <c r="E155" s="21"/>
      <c r="F155" s="21"/>
      <c r="G155" s="21"/>
      <c r="H155" s="171" t="str">
        <f>'Banco de Dados'!A5</f>
        <v>Pregão Elet. Conc.</v>
      </c>
      <c r="I155" s="144">
        <f>I54</f>
        <v>8</v>
      </c>
      <c r="J155" s="144">
        <f ca="1">SUMIF(Processos!$D$6:$AB$249,Tabela4[[#This Row],[Colunas1]],Processos!$AB$6:$AB$249)</f>
        <v>0</v>
      </c>
      <c r="K155" s="240">
        <f ca="1">IFERROR(Tabela4[[#This Row],[Colunas3]]/Tabela4[[#This Row],[Colunas2]],0)</f>
        <v>0</v>
      </c>
      <c r="X155" s="105"/>
      <c r="Y155" s="96"/>
      <c r="Z155" s="104"/>
    </row>
    <row r="156" spans="1:26" x14ac:dyDescent="0.3">
      <c r="A156" s="181"/>
      <c r="B156" s="21"/>
      <c r="C156" s="21"/>
      <c r="D156" s="21"/>
      <c r="E156" s="21"/>
      <c r="F156" s="21"/>
      <c r="G156" s="21"/>
      <c r="H156" s="171" t="str">
        <f>'Banco de Dados'!A4</f>
        <v>Leilão</v>
      </c>
      <c r="I156" s="144">
        <f>I55</f>
        <v>0</v>
      </c>
      <c r="J156" s="144">
        <f ca="1">SUMIF(Processos!$D$6:$AB$249,Tabela4[[#This Row],[Colunas1]],Processos!$AB$6:$AB$249)</f>
        <v>0</v>
      </c>
      <c r="K156" s="240">
        <f ca="1">IFERROR(Tabela4[[#This Row],[Colunas3]]/Tabela4[[#This Row],[Colunas2]],0)</f>
        <v>0</v>
      </c>
      <c r="X156" s="105"/>
      <c r="Y156" s="96"/>
      <c r="Z156" s="104"/>
    </row>
    <row r="157" spans="1:26" x14ac:dyDescent="0.3">
      <c r="A157" s="181"/>
      <c r="B157" s="21"/>
      <c r="C157" s="21"/>
      <c r="D157" s="21"/>
      <c r="E157" s="21"/>
      <c r="F157" s="21"/>
      <c r="G157" s="21"/>
      <c r="H157" s="171" t="str">
        <f>'Banco de Dados'!A6</f>
        <v>Pregão Elet. - SRP</v>
      </c>
      <c r="I157" s="144">
        <f>I56</f>
        <v>82</v>
      </c>
      <c r="J157" s="144">
        <f ca="1">SUMIF(Processos!$D$6:$AB$249,Tabela4[[#This Row],[Colunas1]],Processos!$AB$6:$AB$249)</f>
        <v>1678</v>
      </c>
      <c r="K157" s="240">
        <f ca="1">IFERROR(Tabela4[[#This Row],[Colunas3]]/Tabela4[[#This Row],[Colunas2]],0)</f>
        <v>20.463414634146343</v>
      </c>
      <c r="X157" s="105"/>
      <c r="Y157" s="96"/>
      <c r="Z157" s="104"/>
    </row>
    <row r="158" spans="1:26" x14ac:dyDescent="0.3">
      <c r="A158" s="181"/>
      <c r="B158" s="21"/>
      <c r="C158" s="21"/>
      <c r="D158" s="21"/>
      <c r="E158" s="21"/>
      <c r="F158" s="21"/>
      <c r="G158" s="21"/>
      <c r="H158" s="171" t="str">
        <f>'Banco de Dados'!A7</f>
        <v>Pregão Elet. - Tradicional</v>
      </c>
      <c r="I158" s="144">
        <f>I57</f>
        <v>6</v>
      </c>
      <c r="J158" s="144">
        <f ca="1">SUMIF(Processos!$D$6:$AB$249,Tabela4[[#This Row],[Colunas1]],Processos!$AB$6:$AB$249)</f>
        <v>15</v>
      </c>
      <c r="K158" s="240">
        <f ca="1">IFERROR(Tabela4[[#This Row],[Colunas3]]/Tabela4[[#This Row],[Colunas2]],0)</f>
        <v>2.5</v>
      </c>
      <c r="X158" s="105"/>
      <c r="Y158" s="96"/>
      <c r="Z158" s="104"/>
    </row>
    <row r="159" spans="1:26" x14ac:dyDescent="0.3">
      <c r="A159" s="181"/>
      <c r="B159" s="21"/>
      <c r="C159" s="21"/>
      <c r="D159" s="21"/>
      <c r="E159" s="21"/>
      <c r="F159" s="21"/>
      <c r="G159" s="21"/>
      <c r="H159" s="171" t="str">
        <f>'Banco de Dados'!A8</f>
        <v>RDC</v>
      </c>
      <c r="I159" s="144">
        <f>I58</f>
        <v>9</v>
      </c>
      <c r="J159" s="144">
        <f ca="1">SUMIF(Processos!$D$6:$AB$249,Tabela4[[#This Row],[Colunas1]],Processos!$AB$6:$AB$249)</f>
        <v>143</v>
      </c>
      <c r="K159" s="240">
        <f ca="1">IFERROR(Tabela4[[#This Row],[Colunas3]]/Tabela4[[#This Row],[Colunas2]],0)</f>
        <v>15.888888888888889</v>
      </c>
      <c r="X159" s="105"/>
      <c r="Y159" s="96"/>
      <c r="Z159" s="104"/>
    </row>
    <row r="160" spans="1:26" x14ac:dyDescent="0.25">
      <c r="A160" s="181"/>
      <c r="H160" s="241" t="s">
        <v>395</v>
      </c>
      <c r="I160" s="242">
        <f>SUM(Tabela4[Colunas2])</f>
        <v>105</v>
      </c>
      <c r="J160" s="242">
        <f ca="1">SUM(Tabela4[Colunas3])</f>
        <v>1836</v>
      </c>
      <c r="K160" s="243">
        <f ca="1">SUM(Tabela4[[#Totals],[Colunas3]]/Tabela4[[#Totals],[Colunas2]])</f>
        <v>17.485714285714284</v>
      </c>
      <c r="X160" s="105"/>
      <c r="Y160" s="96"/>
      <c r="Z160" s="104"/>
    </row>
    <row r="161" spans="1:26" x14ac:dyDescent="0.3">
      <c r="A161" s="181"/>
      <c r="B161" s="21"/>
      <c r="C161" s="21"/>
      <c r="D161" s="21"/>
      <c r="E161" s="21"/>
      <c r="F161" s="21"/>
      <c r="G161" s="21"/>
      <c r="H161" s="235" t="s">
        <v>19</v>
      </c>
      <c r="I161" s="236" t="s">
        <v>395</v>
      </c>
      <c r="J161" s="236" t="s">
        <v>411</v>
      </c>
      <c r="K161" s="236" t="s">
        <v>412</v>
      </c>
      <c r="X161" s="105"/>
      <c r="Y161" s="96"/>
      <c r="Z161" s="104"/>
    </row>
    <row r="162" spans="1:26" x14ac:dyDescent="0.3">
      <c r="A162" s="181"/>
      <c r="B162" s="21"/>
      <c r="C162" s="21"/>
      <c r="D162" s="21"/>
      <c r="E162" s="21"/>
      <c r="F162" s="21"/>
      <c r="G162" s="21"/>
      <c r="H162" s="237" t="str">
        <f>'Banco de Dados'!C4</f>
        <v>Alienação</v>
      </c>
      <c r="I162" s="238">
        <f t="shared" ref="I162:I167" ca="1" si="3">I94</f>
        <v>0</v>
      </c>
      <c r="J162" s="238">
        <f ca="1">SUMIF(Processos!$H$6:$AB$249,Tabela5[[#This Row],[Colunas1]],Processos!$AB$6:$AB$249)</f>
        <v>0</v>
      </c>
      <c r="K162" s="239">
        <f ca="1">IFERROR(Tabela5[[#This Row],[Colunas3]]/Tabela5[[#This Row],[Colunas2]],0)</f>
        <v>0</v>
      </c>
      <c r="X162" s="105"/>
      <c r="Y162" s="96"/>
      <c r="Z162" s="104"/>
    </row>
    <row r="163" spans="1:26" x14ac:dyDescent="0.3">
      <c r="A163" s="181"/>
      <c r="B163" s="21"/>
      <c r="C163" s="21"/>
      <c r="D163" s="21"/>
      <c r="E163" s="21"/>
      <c r="F163" s="21"/>
      <c r="G163" s="21"/>
      <c r="H163" s="237" t="str">
        <f>'Banco de Dados'!C5</f>
        <v>Concessão</v>
      </c>
      <c r="I163" s="238">
        <f t="shared" ca="1" si="3"/>
        <v>8</v>
      </c>
      <c r="J163" s="238">
        <f ca="1">SUMIF(Processos!$H$6:$AB$249,Tabela5[[#This Row],[Colunas1]],Processos!$AB$6:$AB$249)</f>
        <v>0</v>
      </c>
      <c r="K163" s="239">
        <f ca="1">IFERROR(Tabela5[[#This Row],[Colunas3]]/Tabela5[[#This Row],[Colunas2]],0)</f>
        <v>0</v>
      </c>
      <c r="X163" s="105"/>
      <c r="Y163" s="96"/>
      <c r="Z163" s="104"/>
    </row>
    <row r="164" spans="1:26" x14ac:dyDescent="0.3">
      <c r="A164" s="181"/>
      <c r="B164" s="21"/>
      <c r="C164" s="21"/>
      <c r="D164" s="21"/>
      <c r="E164" s="21"/>
      <c r="F164" s="21"/>
      <c r="G164" s="21"/>
      <c r="H164" s="237" t="str">
        <f>'Banco de Dados'!C6</f>
        <v>Consumo</v>
      </c>
      <c r="I164" s="238">
        <f t="shared" ca="1" si="3"/>
        <v>2217</v>
      </c>
      <c r="J164" s="238">
        <f ca="1">SUMIF(Processos!$H$6:$AB$249,Tabela5[[#This Row],[Colunas1]],Processos!$AB$6:$AB$249)</f>
        <v>945</v>
      </c>
      <c r="K164" s="239">
        <f ca="1">IFERROR(Tabela5[[#This Row],[Colunas3]]/Tabela5[[#This Row],[Colunas2]],0)</f>
        <v>0.42625169147496617</v>
      </c>
      <c r="X164" s="105"/>
      <c r="Y164" s="96"/>
      <c r="Z164" s="104"/>
    </row>
    <row r="165" spans="1:26" x14ac:dyDescent="0.3">
      <c r="A165" s="181"/>
      <c r="B165" s="21"/>
      <c r="C165" s="21"/>
      <c r="D165" s="21"/>
      <c r="E165" s="21"/>
      <c r="F165" s="21"/>
      <c r="G165" s="21"/>
      <c r="H165" s="237" t="str">
        <f>'Banco de Dados'!C7</f>
        <v>Obra/Projeto</v>
      </c>
      <c r="I165" s="238">
        <f t="shared" ca="1" si="3"/>
        <v>9</v>
      </c>
      <c r="J165" s="238">
        <f ca="1">SUMIF(Processos!$H$6:$AB$249,Tabela5[[#This Row],[Colunas1]],Processos!$AB$6:$AB$249)</f>
        <v>143</v>
      </c>
      <c r="K165" s="239">
        <f ca="1">IFERROR(Tabela5[[#This Row],[Colunas3]]/Tabela5[[#This Row],[Colunas2]],0)</f>
        <v>15.888888888888889</v>
      </c>
      <c r="X165" s="105"/>
      <c r="Y165" s="96"/>
      <c r="Z165" s="104"/>
    </row>
    <row r="166" spans="1:26" x14ac:dyDescent="0.3">
      <c r="A166" s="181"/>
      <c r="B166" s="21"/>
      <c r="C166" s="21"/>
      <c r="D166" s="21"/>
      <c r="E166" s="21"/>
      <c r="F166" s="21"/>
      <c r="G166" s="21"/>
      <c r="H166" s="237" t="str">
        <f>'Banco de Dados'!C8</f>
        <v>Permanente</v>
      </c>
      <c r="I166" s="238">
        <f t="shared" ca="1" si="3"/>
        <v>551</v>
      </c>
      <c r="J166" s="238">
        <f ca="1">SUMIF(Processos!$H$6:$AB$249,Tabela5[[#This Row],[Colunas1]],Processos!$AB$6:$AB$249)</f>
        <v>162</v>
      </c>
      <c r="K166" s="239">
        <f ca="1">IFERROR(Tabela5[[#This Row],[Colunas3]]/Tabela5[[#This Row],[Colunas2]],0)</f>
        <v>0.29401088929219599</v>
      </c>
      <c r="X166" s="105"/>
      <c r="Y166" s="96"/>
      <c r="Z166" s="104"/>
    </row>
    <row r="167" spans="1:26" x14ac:dyDescent="0.3">
      <c r="A167" s="181"/>
      <c r="B167" s="21"/>
      <c r="C167" s="21"/>
      <c r="D167" s="21"/>
      <c r="E167" s="21"/>
      <c r="F167" s="21"/>
      <c r="G167" s="21"/>
      <c r="H167" s="237" t="str">
        <f>'Banco de Dados'!C9</f>
        <v>Serviço</v>
      </c>
      <c r="I167" s="238">
        <f t="shared" ca="1" si="3"/>
        <v>765</v>
      </c>
      <c r="J167" s="238">
        <f ca="1">SUMIF(Processos!$H$6:$AB$249,Tabela5[[#This Row],[Colunas1]],Processos!$AB$6:$AB$249)</f>
        <v>586</v>
      </c>
      <c r="K167" s="239">
        <f ca="1">IFERROR(Tabela5[[#This Row],[Colunas3]]/Tabela5[[#This Row],[Colunas2]],0)</f>
        <v>0.76601307189542489</v>
      </c>
      <c r="X167" s="105"/>
      <c r="Y167" s="96"/>
      <c r="Z167" s="104"/>
    </row>
    <row r="168" spans="1:26" x14ac:dyDescent="0.25">
      <c r="A168" s="181"/>
      <c r="X168" s="105"/>
      <c r="Y168" s="96"/>
      <c r="Z168" s="104"/>
    </row>
    <row r="169" spans="1:26" x14ac:dyDescent="0.25">
      <c r="A169" s="181"/>
      <c r="B169" s="152"/>
      <c r="C169" s="154"/>
      <c r="D169" s="154"/>
      <c r="E169" s="154"/>
      <c r="F169" s="154"/>
      <c r="G169" s="154"/>
      <c r="H169" s="154"/>
      <c r="I169" s="154"/>
      <c r="J169" s="154"/>
      <c r="K169" s="154"/>
      <c r="L169" s="154"/>
      <c r="M169" s="154"/>
      <c r="N169" s="154"/>
      <c r="O169" s="154"/>
      <c r="P169" s="154"/>
      <c r="Q169" s="154"/>
      <c r="R169" s="154"/>
      <c r="S169" s="154"/>
      <c r="T169" s="154"/>
      <c r="U169" s="154"/>
      <c r="V169" s="154"/>
      <c r="W169" s="154"/>
      <c r="X169" s="105"/>
      <c r="Y169" s="96"/>
      <c r="Z169" s="104"/>
    </row>
    <row r="170" spans="1:26" x14ac:dyDescent="0.25">
      <c r="A170" s="95"/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6"/>
      <c r="Z170" s="104"/>
    </row>
    <row r="171" spans="1:26" x14ac:dyDescent="0.25">
      <c r="A171" s="95"/>
      <c r="B171" s="100"/>
      <c r="C171" s="101"/>
      <c r="D171" s="101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95"/>
      <c r="Y171" s="96"/>
      <c r="Z171" s="104"/>
    </row>
    <row r="172" spans="1:26" x14ac:dyDescent="0.25">
      <c r="A172" s="181"/>
      <c r="B172" s="155"/>
      <c r="C172" s="156"/>
      <c r="D172" s="156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X172" s="105"/>
      <c r="Y172" s="96"/>
      <c r="Z172" s="104"/>
    </row>
    <row r="173" spans="1:26" x14ac:dyDescent="0.25">
      <c r="A173" s="181"/>
      <c r="C173" s="16"/>
      <c r="D173" s="16"/>
      <c r="X173" s="105"/>
      <c r="Y173" s="96"/>
      <c r="Z173" s="104"/>
    </row>
    <row r="174" spans="1:26" x14ac:dyDescent="0.25">
      <c r="A174" s="181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5"/>
      <c r="Y174" s="96"/>
      <c r="Z174" s="104"/>
    </row>
    <row r="175" spans="1:26" x14ac:dyDescent="0.25">
      <c r="A175" s="181"/>
      <c r="X175" s="105"/>
      <c r="Y175" s="96"/>
      <c r="Z175" s="104"/>
    </row>
    <row r="176" spans="1:26" x14ac:dyDescent="0.3">
      <c r="A176" s="181"/>
      <c r="B176" s="21"/>
      <c r="C176" s="21"/>
      <c r="D176" s="21"/>
      <c r="H176" s="183" t="s">
        <v>399</v>
      </c>
      <c r="I176" s="143" t="s">
        <v>395</v>
      </c>
      <c r="J176" s="143" t="s">
        <v>396</v>
      </c>
      <c r="X176" s="105"/>
      <c r="Y176" s="96"/>
      <c r="Z176" s="104"/>
    </row>
    <row r="177" spans="1:28" x14ac:dyDescent="0.3">
      <c r="A177" s="181"/>
      <c r="B177" s="21"/>
      <c r="C177" s="21"/>
      <c r="D177" s="21"/>
      <c r="H177" s="171" t="str">
        <f>'Banco de Dados'!D4</f>
        <v>AGECOM</v>
      </c>
      <c r="I177" s="163">
        <f>COUNTIF(Processos!$J$5:$J$250,H177)</f>
        <v>0</v>
      </c>
      <c r="J177" s="175">
        <f t="shared" ref="J177:J208" si="4">(I177*100)/$I$239/100</f>
        <v>0</v>
      </c>
      <c r="L177" s="161" t="s">
        <v>397</v>
      </c>
      <c r="X177" s="105"/>
      <c r="Y177" s="96"/>
      <c r="Z177" s="104"/>
    </row>
    <row r="178" spans="1:28" x14ac:dyDescent="0.3">
      <c r="A178" s="181"/>
      <c r="B178" s="21"/>
      <c r="C178" s="21"/>
      <c r="D178" s="21"/>
      <c r="H178" s="171" t="str">
        <f>'Banco de Dados'!D5</f>
        <v>ARA</v>
      </c>
      <c r="I178" s="163">
        <f>COUNTIF(Processos!$J$5:$J$250,H178)</f>
        <v>4</v>
      </c>
      <c r="J178" s="175">
        <f t="shared" si="4"/>
        <v>3.8095238095238092E-2</v>
      </c>
      <c r="L178" s="206" t="str">
        <f>INDEX(H177:H238,MATCH(MAX(I177:I238),I177:I238,0))</f>
        <v>CBS</v>
      </c>
      <c r="M178" s="207"/>
      <c r="X178" s="105"/>
      <c r="Y178" s="96"/>
      <c r="Z178" s="104"/>
      <c r="AA178" s="167"/>
      <c r="AB178" s="167"/>
    </row>
    <row r="179" spans="1:28" x14ac:dyDescent="0.3">
      <c r="A179" s="181"/>
      <c r="B179" s="21"/>
      <c r="C179" s="21"/>
      <c r="D179" s="21"/>
      <c r="H179" s="171" t="str">
        <f>'Banco de Dados'!D6</f>
        <v>AUDIN</v>
      </c>
      <c r="I179" s="163">
        <f>COUNTIF(Processos!$J$5:$J$250,H179)</f>
        <v>0</v>
      </c>
      <c r="J179" s="175">
        <f t="shared" si="4"/>
        <v>0</v>
      </c>
      <c r="X179" s="105"/>
      <c r="Y179" s="96"/>
      <c r="Z179" s="104"/>
    </row>
    <row r="180" spans="1:28" x14ac:dyDescent="0.3">
      <c r="A180" s="181"/>
      <c r="B180" s="21"/>
      <c r="C180" s="21"/>
      <c r="D180" s="21"/>
      <c r="H180" s="171" t="str">
        <f>'Banco de Dados'!D7</f>
        <v>BIC</v>
      </c>
      <c r="I180" s="163">
        <f>COUNTIF(Processos!$J$5:$J$250,H180)</f>
        <v>0</v>
      </c>
      <c r="J180" s="175">
        <f t="shared" si="4"/>
        <v>0</v>
      </c>
      <c r="X180" s="105"/>
      <c r="Y180" s="96"/>
      <c r="Z180" s="104"/>
    </row>
    <row r="181" spans="1:28" x14ac:dyDescent="0.3">
      <c r="A181" s="181"/>
      <c r="B181" s="21"/>
      <c r="C181" s="21"/>
      <c r="D181" s="21"/>
      <c r="H181" s="171" t="str">
        <f>'Banco de Dados'!D8</f>
        <v>BNU</v>
      </c>
      <c r="I181" s="163">
        <f>COUNTIF(Processos!$J$5:$J$250,H181)</f>
        <v>10</v>
      </c>
      <c r="J181" s="175">
        <f t="shared" si="4"/>
        <v>9.5238095238095233E-2</v>
      </c>
      <c r="X181" s="105"/>
      <c r="Y181" s="96"/>
      <c r="Z181" s="104"/>
    </row>
    <row r="182" spans="1:28" x14ac:dyDescent="0.3">
      <c r="A182" s="181"/>
      <c r="B182" s="21"/>
      <c r="C182" s="21"/>
      <c r="D182" s="21"/>
      <c r="H182" s="171" t="str">
        <f>'Banco de Dados'!D9</f>
        <v>BU</v>
      </c>
      <c r="I182" s="163">
        <f>COUNTIF(Processos!$J$5:$J$250,H182)</f>
        <v>2</v>
      </c>
      <c r="J182" s="175">
        <f t="shared" si="4"/>
        <v>1.9047619047619046E-2</v>
      </c>
      <c r="X182" s="105"/>
      <c r="Y182" s="96"/>
      <c r="Z182" s="104"/>
    </row>
    <row r="183" spans="1:28" x14ac:dyDescent="0.3">
      <c r="A183" s="181"/>
      <c r="B183" s="21"/>
      <c r="C183" s="21"/>
      <c r="D183" s="21"/>
      <c r="H183" s="171" t="str">
        <f>'Banco de Dados'!D10</f>
        <v>CA</v>
      </c>
      <c r="I183" s="163">
        <f>COUNTIF(Processos!$J$5:$J$250,H183)</f>
        <v>2</v>
      </c>
      <c r="J183" s="175">
        <f t="shared" si="4"/>
        <v>1.9047619047619046E-2</v>
      </c>
      <c r="X183" s="105"/>
      <c r="Y183" s="96"/>
      <c r="Z183" s="104"/>
    </row>
    <row r="184" spans="1:28" x14ac:dyDescent="0.3">
      <c r="A184" s="181"/>
      <c r="B184" s="21"/>
      <c r="C184" s="21"/>
      <c r="D184" s="21"/>
      <c r="H184" s="171" t="str">
        <f>'Banco de Dados'!D11</f>
        <v>CBS</v>
      </c>
      <c r="I184" s="163">
        <f>COUNTIF(Processos!$J$5:$J$250,H184)</f>
        <v>13</v>
      </c>
      <c r="J184" s="175">
        <f t="shared" si="4"/>
        <v>0.12380952380952381</v>
      </c>
      <c r="X184" s="105"/>
      <c r="Y184" s="96"/>
      <c r="Z184" s="104"/>
    </row>
    <row r="185" spans="1:28" x14ac:dyDescent="0.3">
      <c r="A185" s="181"/>
      <c r="B185" s="21"/>
      <c r="C185" s="21"/>
      <c r="D185" s="21"/>
      <c r="H185" s="171" t="str">
        <f>'Banco de Dados'!D12</f>
        <v>CCA</v>
      </c>
      <c r="I185" s="163">
        <f>COUNTIF(Processos!$J$5:$J$250,H185)</f>
        <v>9</v>
      </c>
      <c r="J185" s="175">
        <f t="shared" si="4"/>
        <v>8.5714285714285715E-2</v>
      </c>
      <c r="X185" s="105"/>
      <c r="Y185" s="96"/>
      <c r="Z185" s="104"/>
    </row>
    <row r="186" spans="1:28" x14ac:dyDescent="0.3">
      <c r="A186" s="181"/>
      <c r="B186" s="21"/>
      <c r="C186" s="21"/>
      <c r="D186" s="21"/>
      <c r="H186" s="171" t="str">
        <f>'Banco de Dados'!D13</f>
        <v>CCB</v>
      </c>
      <c r="I186" s="163">
        <f>COUNTIF(Processos!$J$5:$J$250,H186)</f>
        <v>1</v>
      </c>
      <c r="J186" s="175">
        <f t="shared" si="4"/>
        <v>9.5238095238095229E-3</v>
      </c>
      <c r="X186" s="105"/>
      <c r="Y186" s="96"/>
      <c r="Z186" s="104"/>
    </row>
    <row r="187" spans="1:28" x14ac:dyDescent="0.3">
      <c r="A187" s="181"/>
      <c r="B187" s="21"/>
      <c r="C187" s="21"/>
      <c r="D187" s="21"/>
      <c r="H187" s="171" t="str">
        <f>'Banco de Dados'!D14</f>
        <v>CCE</v>
      </c>
      <c r="I187" s="163">
        <f>COUNTIF(Processos!$J$5:$J$250,H187)</f>
        <v>3</v>
      </c>
      <c r="J187" s="175">
        <f t="shared" si="4"/>
        <v>2.8571428571428571E-2</v>
      </c>
      <c r="X187" s="105"/>
      <c r="Y187" s="96"/>
      <c r="Z187" s="104"/>
    </row>
    <row r="188" spans="1:28" x14ac:dyDescent="0.3">
      <c r="A188" s="181"/>
      <c r="B188" s="21"/>
      <c r="C188" s="21"/>
      <c r="D188" s="21"/>
      <c r="H188" s="171" t="str">
        <f>'Banco de Dados'!D15</f>
        <v>CCJ</v>
      </c>
      <c r="I188" s="163">
        <f>COUNTIF(Processos!$J$5:$J$250,H188)</f>
        <v>0</v>
      </c>
      <c r="J188" s="175">
        <f t="shared" si="4"/>
        <v>0</v>
      </c>
      <c r="X188" s="105"/>
      <c r="Y188" s="96"/>
      <c r="Z188" s="104"/>
    </row>
    <row r="189" spans="1:28" x14ac:dyDescent="0.3">
      <c r="A189" s="181"/>
      <c r="B189" s="21"/>
      <c r="C189" s="21"/>
      <c r="D189" s="21"/>
      <c r="H189" s="171" t="str">
        <f>'Banco de Dados'!D16</f>
        <v>CCS</v>
      </c>
      <c r="I189" s="163">
        <f>COUNTIF(Processos!$J$5:$J$250,H189)</f>
        <v>4</v>
      </c>
      <c r="J189" s="175">
        <f t="shared" si="4"/>
        <v>3.8095238095238092E-2</v>
      </c>
      <c r="X189" s="105"/>
      <c r="Y189" s="96"/>
      <c r="Z189" s="104"/>
    </row>
    <row r="190" spans="1:28" x14ac:dyDescent="0.3">
      <c r="A190" s="181"/>
      <c r="B190" s="21"/>
      <c r="C190" s="21"/>
      <c r="D190" s="21"/>
      <c r="H190" s="171" t="str">
        <f>'Banco de Dados'!D17</f>
        <v>CDS</v>
      </c>
      <c r="I190" s="163">
        <f>COUNTIF(Processos!$J$5:$J$250,H190)</f>
        <v>1</v>
      </c>
      <c r="J190" s="175">
        <f t="shared" si="4"/>
        <v>9.5238095238095229E-3</v>
      </c>
      <c r="X190" s="105"/>
      <c r="Y190" s="96"/>
      <c r="Z190" s="104"/>
    </row>
    <row r="191" spans="1:28" x14ac:dyDescent="0.3">
      <c r="A191" s="181"/>
      <c r="B191" s="21"/>
      <c r="C191" s="21"/>
      <c r="D191" s="21"/>
      <c r="H191" s="171" t="str">
        <f>'Banco de Dados'!D18</f>
        <v>CED</v>
      </c>
      <c r="I191" s="163">
        <f>COUNTIF(Processos!$J$5:$J$250,H191)</f>
        <v>0</v>
      </c>
      <c r="J191" s="175">
        <f t="shared" si="4"/>
        <v>0</v>
      </c>
      <c r="X191" s="105"/>
      <c r="Y191" s="96"/>
      <c r="Z191" s="104"/>
    </row>
    <row r="192" spans="1:28" x14ac:dyDescent="0.3">
      <c r="A192" s="181"/>
      <c r="B192" s="21"/>
      <c r="C192" s="21"/>
      <c r="D192" s="21"/>
      <c r="H192" s="171" t="str">
        <f>'Banco de Dados'!D19</f>
        <v>CFH</v>
      </c>
      <c r="I192" s="163">
        <f>COUNTIF(Processos!$J$5:$J$250,H192)</f>
        <v>0</v>
      </c>
      <c r="J192" s="175">
        <f t="shared" si="4"/>
        <v>0</v>
      </c>
      <c r="X192" s="105"/>
      <c r="Y192" s="96"/>
      <c r="Z192" s="104"/>
    </row>
    <row r="193" spans="1:26" x14ac:dyDescent="0.3">
      <c r="A193" s="181"/>
      <c r="B193" s="21"/>
      <c r="C193" s="21"/>
      <c r="D193" s="21"/>
      <c r="H193" s="171" t="str">
        <f>'Banco de Dados'!D20</f>
        <v>CFM</v>
      </c>
      <c r="I193" s="163">
        <f>COUNTIF(Processos!$J$5:$J$250,H193)</f>
        <v>1</v>
      </c>
      <c r="J193" s="175">
        <f t="shared" si="4"/>
        <v>9.5238095238095229E-3</v>
      </c>
      <c r="X193" s="105"/>
      <c r="Y193" s="96"/>
      <c r="Z193" s="104"/>
    </row>
    <row r="194" spans="1:26" x14ac:dyDescent="0.3">
      <c r="A194" s="181"/>
      <c r="B194" s="21"/>
      <c r="C194" s="21"/>
      <c r="D194" s="21"/>
      <c r="H194" s="171" t="str">
        <f>'Banco de Dados'!D21</f>
        <v>CGA</v>
      </c>
      <c r="I194" s="163">
        <f>COUNTIF(Processos!$J$5:$J$250,H194)</f>
        <v>2</v>
      </c>
      <c r="J194" s="175">
        <f t="shared" si="4"/>
        <v>1.9047619047619046E-2</v>
      </c>
      <c r="X194" s="105"/>
      <c r="Y194" s="96"/>
      <c r="Z194" s="104"/>
    </row>
    <row r="195" spans="1:26" x14ac:dyDescent="0.3">
      <c r="A195" s="181"/>
      <c r="B195" s="21"/>
      <c r="C195" s="21"/>
      <c r="D195" s="21"/>
      <c r="H195" s="171" t="str">
        <f>'Banco de Dados'!D22</f>
        <v>COPERVE</v>
      </c>
      <c r="I195" s="163">
        <f>COUNTIF(Processos!$J$5:$J$250,H195)</f>
        <v>2</v>
      </c>
      <c r="J195" s="175">
        <f t="shared" si="4"/>
        <v>1.9047619047619046E-2</v>
      </c>
      <c r="X195" s="105"/>
      <c r="Y195" s="96"/>
      <c r="Z195" s="104"/>
    </row>
    <row r="196" spans="1:26" x14ac:dyDescent="0.3">
      <c r="A196" s="181"/>
      <c r="B196" s="21"/>
      <c r="C196" s="21"/>
      <c r="D196" s="21"/>
      <c r="H196" s="171" t="str">
        <f>'Banco de Dados'!D23</f>
        <v>CSE</v>
      </c>
      <c r="I196" s="163">
        <f>COUNTIF(Processos!$J$5:$J$250,H196)</f>
        <v>0</v>
      </c>
      <c r="J196" s="175">
        <f t="shared" si="4"/>
        <v>0</v>
      </c>
      <c r="X196" s="105"/>
      <c r="Y196" s="96"/>
      <c r="Z196" s="104"/>
    </row>
    <row r="197" spans="1:26" x14ac:dyDescent="0.3">
      <c r="A197" s="181"/>
      <c r="B197" s="21"/>
      <c r="C197" s="21"/>
      <c r="D197" s="21"/>
      <c r="H197" s="171" t="str">
        <f>'Banco de Dados'!D24</f>
        <v>CTC</v>
      </c>
      <c r="I197" s="163">
        <f>COUNTIF(Processos!$J$5:$J$250,H197)</f>
        <v>2</v>
      </c>
      <c r="J197" s="175">
        <f t="shared" si="4"/>
        <v>1.9047619047619046E-2</v>
      </c>
      <c r="X197" s="105"/>
      <c r="Y197" s="96"/>
      <c r="Z197" s="104"/>
    </row>
    <row r="198" spans="1:26" x14ac:dyDescent="0.3">
      <c r="A198" s="181"/>
      <c r="B198" s="21"/>
      <c r="C198" s="21"/>
      <c r="D198" s="21"/>
      <c r="H198" s="171" t="str">
        <f>'Banco de Dados'!D25</f>
        <v>DAE</v>
      </c>
      <c r="I198" s="163">
        <f>COUNTIF(Processos!$J$5:$J$250,H198)</f>
        <v>0</v>
      </c>
      <c r="J198" s="175">
        <f t="shared" si="4"/>
        <v>0</v>
      </c>
      <c r="X198" s="105"/>
      <c r="Y198" s="96"/>
      <c r="Z198" s="104"/>
    </row>
    <row r="199" spans="1:26" x14ac:dyDescent="0.3">
      <c r="A199" s="181"/>
      <c r="B199" s="21"/>
      <c r="C199" s="21"/>
      <c r="D199" s="21"/>
      <c r="H199" s="171" t="str">
        <f>'Banco de Dados'!D26</f>
        <v>DCOM</v>
      </c>
      <c r="I199" s="163">
        <f>COUNTIF(Processos!$J$5:$J$250,H199)</f>
        <v>5</v>
      </c>
      <c r="J199" s="175">
        <f t="shared" si="4"/>
        <v>4.7619047619047616E-2</v>
      </c>
      <c r="X199" s="105"/>
      <c r="Y199" s="96"/>
      <c r="Z199" s="104"/>
    </row>
    <row r="200" spans="1:26" x14ac:dyDescent="0.3">
      <c r="A200" s="181"/>
      <c r="B200" s="21"/>
      <c r="C200" s="21"/>
      <c r="D200" s="21"/>
      <c r="H200" s="171" t="str">
        <f>'Banco de Dados'!D27</f>
        <v>DCF</v>
      </c>
      <c r="I200" s="163">
        <f>COUNTIF(Processos!$J$5:$J$250,H200)</f>
        <v>0</v>
      </c>
      <c r="J200" s="175">
        <f t="shared" si="4"/>
        <v>0</v>
      </c>
      <c r="X200" s="105"/>
      <c r="Y200" s="96"/>
      <c r="Z200" s="104"/>
    </row>
    <row r="201" spans="1:26" x14ac:dyDescent="0.3">
      <c r="A201" s="181"/>
      <c r="B201" s="21"/>
      <c r="C201" s="21"/>
      <c r="D201" s="21"/>
      <c r="H201" s="171" t="str">
        <f>'Banco de Dados'!D28</f>
        <v>DFO</v>
      </c>
      <c r="I201" s="163">
        <f>COUNTIF(Processos!$J$5:$J$250,H201)</f>
        <v>0</v>
      </c>
      <c r="J201" s="175">
        <f t="shared" si="4"/>
        <v>0</v>
      </c>
      <c r="X201" s="105"/>
      <c r="Y201" s="96"/>
      <c r="Z201" s="104"/>
    </row>
    <row r="202" spans="1:26" x14ac:dyDescent="0.3">
      <c r="A202" s="181"/>
      <c r="B202" s="21"/>
      <c r="C202" s="21"/>
      <c r="D202" s="21"/>
      <c r="H202" s="171" t="str">
        <f>'Banco de Dados'!D30</f>
        <v>DMPI</v>
      </c>
      <c r="I202" s="163">
        <f>COUNTIF(Processos!$J$5:$J$250,H202)</f>
        <v>8</v>
      </c>
      <c r="J202" s="175">
        <f t="shared" si="4"/>
        <v>7.6190476190476183E-2</v>
      </c>
      <c r="X202" s="105"/>
      <c r="Y202" s="96"/>
      <c r="Z202" s="104"/>
    </row>
    <row r="203" spans="1:26" x14ac:dyDescent="0.3">
      <c r="A203" s="181"/>
      <c r="B203" s="21"/>
      <c r="C203" s="21"/>
      <c r="D203" s="21"/>
      <c r="H203" s="171" t="str">
        <f>'Banco de Dados'!D31</f>
        <v>DPAE</v>
      </c>
      <c r="I203" s="163">
        <f>COUNTIF(Processos!$J$5:$J$250,H203)</f>
        <v>0</v>
      </c>
      <c r="J203" s="175">
        <f t="shared" si="4"/>
        <v>0</v>
      </c>
      <c r="X203" s="105"/>
      <c r="Y203" s="96"/>
      <c r="Z203" s="104"/>
    </row>
    <row r="204" spans="1:26" x14ac:dyDescent="0.3">
      <c r="A204" s="181"/>
      <c r="B204" s="21"/>
      <c r="C204" s="21"/>
      <c r="D204" s="21"/>
      <c r="H204" s="171" t="str">
        <f>'Banco de Dados'!D32</f>
        <v>DPC</v>
      </c>
      <c r="I204" s="163">
        <f>COUNTIF(Processos!$J$5:$J$250,H204)</f>
        <v>3</v>
      </c>
      <c r="J204" s="175">
        <f t="shared" si="4"/>
        <v>2.8571428571428571E-2</v>
      </c>
      <c r="X204" s="105"/>
      <c r="Y204" s="96"/>
      <c r="Z204" s="104"/>
    </row>
    <row r="205" spans="1:26" x14ac:dyDescent="0.3">
      <c r="A205" s="181"/>
      <c r="B205" s="21"/>
      <c r="C205" s="21"/>
      <c r="D205" s="21"/>
      <c r="H205" s="171" t="str">
        <f>'Banco de Dados'!D33</f>
        <v>DPGI</v>
      </c>
      <c r="I205" s="163">
        <f>COUNTIF(Processos!$J$5:$J$250,H205)</f>
        <v>0</v>
      </c>
      <c r="J205" s="175">
        <f t="shared" si="4"/>
        <v>0</v>
      </c>
      <c r="X205" s="105"/>
      <c r="Y205" s="96"/>
      <c r="Z205" s="104"/>
    </row>
    <row r="206" spans="1:26" x14ac:dyDescent="0.3">
      <c r="A206" s="181"/>
      <c r="B206" s="21"/>
      <c r="C206" s="21"/>
      <c r="D206" s="21"/>
      <c r="H206" s="171" t="str">
        <f>'Banco de Dados'!D34</f>
        <v>EDITORA</v>
      </c>
      <c r="I206" s="163">
        <f>COUNTIF(Processos!$J$5:$J$250,H206)</f>
        <v>0</v>
      </c>
      <c r="J206" s="175">
        <f t="shared" si="4"/>
        <v>0</v>
      </c>
      <c r="X206" s="105"/>
      <c r="Y206" s="96"/>
      <c r="Z206" s="104"/>
    </row>
    <row r="207" spans="1:26" x14ac:dyDescent="0.3">
      <c r="A207" s="181"/>
      <c r="B207" s="21"/>
      <c r="C207" s="21"/>
      <c r="D207" s="21"/>
      <c r="H207" s="171" t="str">
        <f>'Banco de Dados'!D35</f>
        <v>EDUFSC</v>
      </c>
      <c r="I207" s="163">
        <f>COUNTIF(Processos!$J$5:$J$250,H207)</f>
        <v>1</v>
      </c>
      <c r="J207" s="175">
        <f t="shared" si="4"/>
        <v>9.5238095238095229E-3</v>
      </c>
      <c r="X207" s="105"/>
      <c r="Y207" s="96"/>
      <c r="Z207" s="104"/>
    </row>
    <row r="208" spans="1:26" x14ac:dyDescent="0.3">
      <c r="A208" s="181"/>
      <c r="B208" s="21"/>
      <c r="C208" s="21"/>
      <c r="D208" s="21"/>
      <c r="H208" s="171" t="str">
        <f>'Banco de Dados'!D36</f>
        <v>GR</v>
      </c>
      <c r="I208" s="163">
        <f>COUNTIF(Processos!$J$5:$J$250,H208)</f>
        <v>2</v>
      </c>
      <c r="J208" s="175">
        <f t="shared" si="4"/>
        <v>1.9047619047619046E-2</v>
      </c>
      <c r="X208" s="105"/>
      <c r="Y208" s="96"/>
      <c r="Z208" s="104"/>
    </row>
    <row r="209" spans="1:26" x14ac:dyDescent="0.3">
      <c r="A209" s="181"/>
      <c r="B209" s="21"/>
      <c r="C209" s="21"/>
      <c r="D209" s="21"/>
      <c r="H209" s="171" t="str">
        <f>'Banco de Dados'!D37</f>
        <v>IU</v>
      </c>
      <c r="I209" s="163">
        <f>COUNTIF(Processos!$J$5:$J$250,H209)</f>
        <v>1</v>
      </c>
      <c r="J209" s="175">
        <f t="shared" ref="J209:J238" si="5">(I209*100)/$I$239/100</f>
        <v>9.5238095238095229E-3</v>
      </c>
      <c r="X209" s="105"/>
      <c r="Y209" s="96"/>
      <c r="Z209" s="104"/>
    </row>
    <row r="210" spans="1:26" x14ac:dyDescent="0.3">
      <c r="A210" s="181"/>
      <c r="B210" s="21"/>
      <c r="C210" s="21"/>
      <c r="D210" s="21"/>
      <c r="H210" s="171" t="str">
        <f>'Banco de Dados'!D38</f>
        <v>JOI</v>
      </c>
      <c r="I210" s="163">
        <f>COUNTIF(Processos!$J$5:$J$250,H210)</f>
        <v>2</v>
      </c>
      <c r="J210" s="175">
        <f t="shared" si="5"/>
        <v>1.9047619047619046E-2</v>
      </c>
      <c r="X210" s="105"/>
      <c r="Y210" s="96"/>
      <c r="Z210" s="104"/>
    </row>
    <row r="211" spans="1:26" x14ac:dyDescent="0.3">
      <c r="A211" s="181"/>
      <c r="B211" s="21"/>
      <c r="C211" s="21"/>
      <c r="D211" s="21"/>
      <c r="H211" s="171" t="str">
        <f>'Banco de Dados'!D39</f>
        <v>MARQUE</v>
      </c>
      <c r="I211" s="163">
        <f>COUNTIF(Processos!$J$5:$J$250,H211)</f>
        <v>0</v>
      </c>
      <c r="J211" s="175">
        <f t="shared" si="5"/>
        <v>0</v>
      </c>
      <c r="X211" s="105"/>
      <c r="Y211" s="96"/>
      <c r="Z211" s="104"/>
    </row>
    <row r="212" spans="1:26" x14ac:dyDescent="0.3">
      <c r="A212" s="181"/>
      <c r="B212" s="21"/>
      <c r="C212" s="21"/>
      <c r="D212" s="21"/>
      <c r="H212" s="171" t="str">
        <f>'Banco de Dados'!D40</f>
        <v>NDI</v>
      </c>
      <c r="I212" s="163">
        <f>COUNTIF(Processos!$J$5:$J$250,H212)</f>
        <v>1</v>
      </c>
      <c r="J212" s="175">
        <f t="shared" si="5"/>
        <v>9.5238095238095229E-3</v>
      </c>
      <c r="X212" s="105"/>
      <c r="Y212" s="96"/>
      <c r="Z212" s="104"/>
    </row>
    <row r="213" spans="1:26" x14ac:dyDescent="0.3">
      <c r="A213" s="181"/>
      <c r="B213" s="21"/>
      <c r="C213" s="21"/>
      <c r="D213" s="21"/>
      <c r="H213" s="171" t="str">
        <f>'Banco de Dados'!D41</f>
        <v>NUMA</v>
      </c>
      <c r="I213" s="163">
        <f>COUNTIF(Processos!$J$5:$J$250,H213)</f>
        <v>0</v>
      </c>
      <c r="J213" s="175">
        <f t="shared" si="5"/>
        <v>0</v>
      </c>
      <c r="X213" s="105"/>
      <c r="Y213" s="96"/>
      <c r="Z213" s="104"/>
    </row>
    <row r="214" spans="1:26" x14ac:dyDescent="0.3">
      <c r="A214" s="181"/>
      <c r="B214" s="21"/>
      <c r="C214" s="21"/>
      <c r="D214" s="21"/>
      <c r="H214" s="171" t="str">
        <f>'Banco de Dados'!D42</f>
        <v>OUV</v>
      </c>
      <c r="I214" s="163">
        <f>COUNTIF(Processos!$J$5:$J$250,H214)</f>
        <v>0</v>
      </c>
      <c r="J214" s="175">
        <f t="shared" si="5"/>
        <v>0</v>
      </c>
      <c r="X214" s="105"/>
      <c r="Y214" s="96"/>
      <c r="Z214" s="104"/>
    </row>
    <row r="215" spans="1:26" x14ac:dyDescent="0.3">
      <c r="A215" s="181"/>
      <c r="B215" s="21"/>
      <c r="C215" s="21"/>
      <c r="D215" s="21"/>
      <c r="H215" s="171" t="str">
        <f>'Banco de Dados'!D43</f>
        <v>PRAE</v>
      </c>
      <c r="I215" s="163">
        <f>COUNTIF(Processos!$J$5:$J$250,H215)</f>
        <v>0</v>
      </c>
      <c r="J215" s="175">
        <f t="shared" si="5"/>
        <v>0</v>
      </c>
      <c r="X215" s="105"/>
      <c r="Y215" s="96"/>
      <c r="Z215" s="104"/>
    </row>
    <row r="216" spans="1:26" x14ac:dyDescent="0.3">
      <c r="A216" s="181"/>
      <c r="B216" s="21"/>
      <c r="C216" s="21"/>
      <c r="D216" s="21"/>
      <c r="H216" s="171" t="str">
        <f>'Banco de Dados'!D44</f>
        <v>PROAD</v>
      </c>
      <c r="I216" s="163">
        <f>COUNTIF(Processos!$J$5:$J$250,H216)</f>
        <v>0</v>
      </c>
      <c r="J216" s="175">
        <f t="shared" si="5"/>
        <v>0</v>
      </c>
      <c r="X216" s="105"/>
      <c r="Y216" s="96"/>
      <c r="Z216" s="104"/>
    </row>
    <row r="217" spans="1:26" x14ac:dyDescent="0.3">
      <c r="A217" s="181"/>
      <c r="B217" s="21"/>
      <c r="C217" s="21"/>
      <c r="D217" s="21"/>
      <c r="H217" s="171" t="str">
        <f>'Banco de Dados'!D45</f>
        <v>PRODEGESP</v>
      </c>
      <c r="I217" s="163">
        <f>COUNTIF(Processos!$J$5:$J$250,H217)</f>
        <v>1</v>
      </c>
      <c r="J217" s="175">
        <f t="shared" si="5"/>
        <v>9.5238095238095229E-3</v>
      </c>
      <c r="X217" s="105"/>
      <c r="Y217" s="96"/>
      <c r="Z217" s="104"/>
    </row>
    <row r="218" spans="1:26" x14ac:dyDescent="0.3">
      <c r="A218" s="181"/>
      <c r="B218" s="21"/>
      <c r="C218" s="21"/>
      <c r="D218" s="21"/>
      <c r="H218" s="171" t="str">
        <f>'Banco de Dados'!D46</f>
        <v>PROEX</v>
      </c>
      <c r="I218" s="163">
        <f>COUNTIF(Processos!$J$5:$J$250,H218)</f>
        <v>0</v>
      </c>
      <c r="J218" s="175">
        <f t="shared" si="5"/>
        <v>0</v>
      </c>
      <c r="X218" s="105"/>
      <c r="Y218" s="96"/>
      <c r="Z218" s="104"/>
    </row>
    <row r="219" spans="1:26" x14ac:dyDescent="0.3">
      <c r="A219" s="181"/>
      <c r="B219" s="21"/>
      <c r="C219" s="21"/>
      <c r="D219" s="21"/>
      <c r="H219" s="171" t="str">
        <f>'Banco de Dados'!D47</f>
        <v>PROGRAD</v>
      </c>
      <c r="I219" s="163">
        <f>COUNTIF(Processos!$J$5:$J$250,H219)</f>
        <v>0</v>
      </c>
      <c r="J219" s="175">
        <f t="shared" si="5"/>
        <v>0</v>
      </c>
      <c r="X219" s="105"/>
      <c r="Y219" s="96"/>
      <c r="Z219" s="104"/>
    </row>
    <row r="220" spans="1:26" x14ac:dyDescent="0.3">
      <c r="A220" s="181"/>
      <c r="B220" s="21"/>
      <c r="C220" s="21"/>
      <c r="D220" s="21"/>
      <c r="H220" s="171" t="str">
        <f>'Banco de Dados'!D48</f>
        <v>PROPESQ</v>
      </c>
      <c r="I220" s="163">
        <f>COUNTIF(Processos!$J$5:$J$250,H220)</f>
        <v>0</v>
      </c>
      <c r="J220" s="175">
        <f t="shared" si="5"/>
        <v>0</v>
      </c>
      <c r="X220" s="105"/>
      <c r="Y220" s="96"/>
      <c r="Z220" s="104"/>
    </row>
    <row r="221" spans="1:26" x14ac:dyDescent="0.3">
      <c r="A221" s="181"/>
      <c r="B221" s="21"/>
      <c r="C221" s="21"/>
      <c r="D221" s="21"/>
      <c r="H221" s="171" t="str">
        <f>'Banco de Dados'!D49</f>
        <v>PROPG</v>
      </c>
      <c r="I221" s="163">
        <f>COUNTIF(Processos!$J$5:$J$250,H221)</f>
        <v>0</v>
      </c>
      <c r="J221" s="175">
        <f t="shared" si="5"/>
        <v>0</v>
      </c>
      <c r="X221" s="105"/>
      <c r="Y221" s="96"/>
      <c r="Z221" s="104"/>
    </row>
    <row r="222" spans="1:26" x14ac:dyDescent="0.3">
      <c r="A222" s="181"/>
      <c r="B222" s="21"/>
      <c r="C222" s="21"/>
      <c r="D222" s="21"/>
      <c r="H222" s="171" t="str">
        <f>'Banco de Dados'!D50</f>
        <v>PU</v>
      </c>
      <c r="I222" s="163">
        <f>COUNTIF(Processos!$J$5:$J$250,H222)</f>
        <v>5</v>
      </c>
      <c r="J222" s="175">
        <f t="shared" si="5"/>
        <v>4.7619047619047616E-2</v>
      </c>
      <c r="X222" s="105"/>
      <c r="Y222" s="96"/>
      <c r="Z222" s="104"/>
    </row>
    <row r="223" spans="1:26" x14ac:dyDescent="0.3">
      <c r="A223" s="181"/>
      <c r="B223" s="21"/>
      <c r="C223" s="21"/>
      <c r="D223" s="21"/>
      <c r="H223" s="171" t="str">
        <f>'Banco de Dados'!D51</f>
        <v>REITORIA</v>
      </c>
      <c r="I223" s="163">
        <f>COUNTIF(Processos!$J$5:$J$250,H223)</f>
        <v>0</v>
      </c>
      <c r="J223" s="175">
        <f t="shared" si="5"/>
        <v>0</v>
      </c>
      <c r="X223" s="105"/>
      <c r="Y223" s="96"/>
      <c r="Z223" s="104"/>
    </row>
    <row r="224" spans="1:26" x14ac:dyDescent="0.3">
      <c r="A224" s="181"/>
      <c r="B224" s="21"/>
      <c r="C224" s="21"/>
      <c r="D224" s="21"/>
      <c r="H224" s="171" t="str">
        <f>'Banco de Dados'!D52</f>
        <v>RU</v>
      </c>
      <c r="I224" s="163">
        <f>COUNTIF(Processos!$J$5:$J$250,H224)</f>
        <v>7</v>
      </c>
      <c r="J224" s="175">
        <f t="shared" si="5"/>
        <v>6.6666666666666666E-2</v>
      </c>
      <c r="X224" s="105"/>
      <c r="Y224" s="96"/>
      <c r="Z224" s="104"/>
    </row>
    <row r="225" spans="1:26" x14ac:dyDescent="0.3">
      <c r="A225" s="181"/>
      <c r="B225" s="21"/>
      <c r="C225" s="21"/>
      <c r="D225" s="21"/>
      <c r="H225" s="171" t="str">
        <f>'Banco de Dados'!D53</f>
        <v>SAAD</v>
      </c>
      <c r="I225" s="163">
        <f>COUNTIF(Processos!$J$5:$J$250,H225)</f>
        <v>1</v>
      </c>
      <c r="J225" s="175">
        <f t="shared" si="5"/>
        <v>9.5238095238095229E-3</v>
      </c>
      <c r="X225" s="105"/>
      <c r="Y225" s="96"/>
      <c r="Z225" s="104"/>
    </row>
    <row r="226" spans="1:26" x14ac:dyDescent="0.3">
      <c r="A226" s="181"/>
      <c r="B226" s="21"/>
      <c r="C226" s="21"/>
      <c r="D226" s="21"/>
      <c r="H226" s="171" t="str">
        <f>'Banco de Dados'!D54</f>
        <v>SEAD</v>
      </c>
      <c r="I226" s="163">
        <f>COUNTIF(Processos!$J$5:$J$250,H226)</f>
        <v>0</v>
      </c>
      <c r="J226" s="175">
        <f t="shared" si="5"/>
        <v>0</v>
      </c>
      <c r="X226" s="105"/>
      <c r="Y226" s="96"/>
      <c r="Z226" s="104"/>
    </row>
    <row r="227" spans="1:26" x14ac:dyDescent="0.3">
      <c r="A227" s="181"/>
      <c r="B227" s="21"/>
      <c r="C227" s="21"/>
      <c r="D227" s="21"/>
      <c r="H227" s="171" t="str">
        <f>'Banco de Dados'!D55</f>
        <v>SEAI</v>
      </c>
      <c r="I227" s="163">
        <f>COUNTIF(Processos!$J$5:$J$250,H227)</f>
        <v>0</v>
      </c>
      <c r="J227" s="175">
        <f t="shared" si="5"/>
        <v>0</v>
      </c>
      <c r="X227" s="105"/>
      <c r="Y227" s="96"/>
      <c r="Z227" s="104"/>
    </row>
    <row r="228" spans="1:26" x14ac:dyDescent="0.3">
      <c r="A228" s="181"/>
      <c r="B228" s="21"/>
      <c r="C228" s="21"/>
      <c r="D228" s="21"/>
      <c r="H228" s="171" t="str">
        <f>'Banco de Dados'!D56</f>
        <v>SECARTE</v>
      </c>
      <c r="I228" s="163">
        <f>COUNTIF(Processos!$J$5:$J$250,H228)</f>
        <v>7</v>
      </c>
      <c r="J228" s="175">
        <f t="shared" si="5"/>
        <v>6.6666666666666666E-2</v>
      </c>
      <c r="X228" s="105"/>
      <c r="Y228" s="96"/>
      <c r="Z228" s="104"/>
    </row>
    <row r="229" spans="1:26" x14ac:dyDescent="0.3">
      <c r="A229" s="181"/>
      <c r="B229" s="21"/>
      <c r="C229" s="21"/>
      <c r="D229" s="21"/>
      <c r="H229" s="171" t="str">
        <f>'Banco de Dados'!D57</f>
        <v>SEOMA</v>
      </c>
      <c r="I229" s="163">
        <f>COUNTIF(Processos!$J$5:$J$250,H229)</f>
        <v>0</v>
      </c>
      <c r="J229" s="175">
        <f t="shared" si="5"/>
        <v>0</v>
      </c>
      <c r="X229" s="105"/>
      <c r="Y229" s="96"/>
      <c r="Z229" s="104"/>
    </row>
    <row r="230" spans="1:26" x14ac:dyDescent="0.3">
      <c r="A230" s="181"/>
      <c r="B230" s="21"/>
      <c r="C230" s="21"/>
      <c r="D230" s="21"/>
      <c r="H230" s="171" t="str">
        <f>'Banco de Dados'!D58</f>
        <v>SEPLAN</v>
      </c>
      <c r="I230" s="163">
        <f>COUNTIF(Processos!$J$5:$J$250,H230)</f>
        <v>0</v>
      </c>
      <c r="J230" s="175">
        <f t="shared" si="5"/>
        <v>0</v>
      </c>
      <c r="X230" s="105"/>
      <c r="Y230" s="96"/>
      <c r="Z230" s="104"/>
    </row>
    <row r="231" spans="1:26" x14ac:dyDescent="0.3">
      <c r="A231" s="181"/>
      <c r="B231" s="21"/>
      <c r="C231" s="21"/>
      <c r="D231" s="21"/>
      <c r="H231" s="171" t="str">
        <f>'Banco de Dados'!D59</f>
        <v>SESP</v>
      </c>
      <c r="I231" s="163">
        <f>COUNTIF(Processos!$J$5:$J$250,H231)</f>
        <v>0</v>
      </c>
      <c r="J231" s="175">
        <f t="shared" si="5"/>
        <v>0</v>
      </c>
      <c r="X231" s="105"/>
      <c r="Y231" s="96"/>
      <c r="Z231" s="104"/>
    </row>
    <row r="232" spans="1:26" x14ac:dyDescent="0.3">
      <c r="A232" s="181"/>
      <c r="B232" s="21"/>
      <c r="C232" s="21"/>
      <c r="D232" s="21"/>
      <c r="H232" s="171" t="str">
        <f>'Banco de Dados'!D60</f>
        <v>SETIC</v>
      </c>
      <c r="I232" s="163">
        <f>COUNTIF(Processos!$J$5:$J$250,H232)</f>
        <v>4</v>
      </c>
      <c r="J232" s="175">
        <f t="shared" si="5"/>
        <v>3.8095238095238092E-2</v>
      </c>
      <c r="X232" s="105"/>
      <c r="Y232" s="96"/>
      <c r="Z232" s="104"/>
    </row>
    <row r="233" spans="1:26" x14ac:dyDescent="0.3">
      <c r="A233" s="181"/>
      <c r="B233" s="21"/>
      <c r="C233" s="21"/>
      <c r="D233" s="21"/>
      <c r="H233" s="171" t="str">
        <f>'Banco de Dados'!D61</f>
        <v>SINOVA</v>
      </c>
      <c r="I233" s="163">
        <f>COUNTIF(Processos!$J$5:$J$250,H233)</f>
        <v>0</v>
      </c>
      <c r="J233" s="175">
        <f t="shared" si="5"/>
        <v>0</v>
      </c>
      <c r="X233" s="105"/>
      <c r="Y233" s="96"/>
      <c r="Z233" s="104"/>
    </row>
    <row r="234" spans="1:26" x14ac:dyDescent="0.3">
      <c r="A234" s="181"/>
      <c r="B234" s="21"/>
      <c r="C234" s="21"/>
      <c r="D234" s="21"/>
      <c r="H234" s="171" t="str">
        <f>'Banco de Dados'!D62</f>
        <v>SINTER</v>
      </c>
      <c r="I234" s="163">
        <f>COUNTIF(Processos!$J$5:$J$250,H234)</f>
        <v>0</v>
      </c>
      <c r="J234" s="175">
        <f t="shared" si="5"/>
        <v>0</v>
      </c>
      <c r="X234" s="105"/>
      <c r="Y234" s="96"/>
      <c r="Z234" s="104"/>
    </row>
    <row r="235" spans="1:26" x14ac:dyDescent="0.3">
      <c r="A235" s="181"/>
      <c r="B235" s="21"/>
      <c r="C235" s="21"/>
      <c r="D235" s="21"/>
      <c r="H235" s="171" t="str">
        <f>'Banco de Dados'!D63</f>
        <v>SO</v>
      </c>
      <c r="I235" s="163">
        <f>COUNTIF(Processos!$J$5:$J$250,H235)</f>
        <v>0</v>
      </c>
      <c r="J235" s="175">
        <f t="shared" si="5"/>
        <v>0</v>
      </c>
      <c r="X235" s="105"/>
      <c r="Y235" s="96"/>
      <c r="Z235" s="104"/>
    </row>
    <row r="236" spans="1:26" x14ac:dyDescent="0.3">
      <c r="A236" s="181"/>
      <c r="B236" s="21"/>
      <c r="C236" s="21"/>
      <c r="D236" s="21"/>
      <c r="H236" s="171" t="str">
        <f>'Banco de Dados'!D64</f>
        <v>SODC</v>
      </c>
      <c r="I236" s="163">
        <f>COUNTIF(Processos!$J$5:$J$250,H236)</f>
        <v>0</v>
      </c>
      <c r="J236" s="175">
        <f t="shared" si="5"/>
        <v>0</v>
      </c>
      <c r="X236" s="105"/>
      <c r="Y236" s="96"/>
      <c r="Z236" s="104"/>
    </row>
    <row r="237" spans="1:26" x14ac:dyDescent="0.3">
      <c r="A237" s="181"/>
      <c r="B237" s="21"/>
      <c r="C237" s="21"/>
      <c r="D237" s="21"/>
      <c r="H237" s="171" t="str">
        <f>'Banco de Dados'!D65</f>
        <v>SSI</v>
      </c>
      <c r="I237" s="163">
        <f>COUNTIF(Processos!$J$5:$J$250,H237)</f>
        <v>1</v>
      </c>
      <c r="J237" s="175">
        <f t="shared" si="5"/>
        <v>9.5238095238095229E-3</v>
      </c>
      <c r="X237" s="105"/>
      <c r="Y237" s="96"/>
      <c r="Z237" s="104"/>
    </row>
    <row r="238" spans="1:26" x14ac:dyDescent="0.3">
      <c r="A238" s="181"/>
      <c r="B238" s="21"/>
      <c r="C238" s="21"/>
      <c r="D238" s="21"/>
      <c r="H238" s="171" t="str">
        <f>'Banco de Dados'!D66</f>
        <v>TVUFSC</v>
      </c>
      <c r="I238" s="163">
        <f>COUNTIF(Processos!$J$5:$J$250,H238)</f>
        <v>0</v>
      </c>
      <c r="J238" s="175">
        <f t="shared" si="5"/>
        <v>0</v>
      </c>
      <c r="X238" s="105"/>
      <c r="Y238" s="96"/>
      <c r="Z238" s="104"/>
    </row>
    <row r="239" spans="1:26" x14ac:dyDescent="0.3">
      <c r="A239" s="181"/>
      <c r="B239" s="21"/>
      <c r="C239" s="21"/>
      <c r="D239" s="21"/>
      <c r="H239" s="168" t="s">
        <v>398</v>
      </c>
      <c r="I239" s="146">
        <f>SUM(I177:I238)</f>
        <v>105</v>
      </c>
      <c r="J239" s="172"/>
      <c r="X239" s="105"/>
      <c r="Y239" s="96"/>
      <c r="Z239" s="104"/>
    </row>
    <row r="240" spans="1:26" x14ac:dyDescent="0.3">
      <c r="A240" s="181"/>
      <c r="B240" s="21"/>
      <c r="C240" s="21"/>
      <c r="D240" s="21"/>
      <c r="H240" s="168"/>
      <c r="I240" s="14"/>
      <c r="J240" s="172"/>
      <c r="X240" s="105"/>
      <c r="Y240" s="96"/>
      <c r="Z240" s="104"/>
    </row>
    <row r="241" spans="1:26" x14ac:dyDescent="0.3">
      <c r="A241" s="181"/>
      <c r="B241" s="179"/>
      <c r="C241" s="180"/>
      <c r="D241" s="180"/>
      <c r="E241" s="154"/>
      <c r="F241" s="154"/>
      <c r="G241" s="154"/>
      <c r="H241" s="208"/>
      <c r="I241" s="209"/>
      <c r="J241" s="210"/>
      <c r="K241" s="154"/>
      <c r="L241" s="154"/>
      <c r="M241" s="154"/>
      <c r="N241" s="154"/>
      <c r="O241" s="154"/>
      <c r="P241" s="154"/>
      <c r="Q241" s="154"/>
      <c r="R241" s="154"/>
      <c r="S241" s="154"/>
      <c r="T241" s="154"/>
      <c r="U241" s="154"/>
      <c r="V241" s="154"/>
      <c r="W241" s="154"/>
      <c r="X241" s="105"/>
      <c r="Y241" s="96"/>
      <c r="Z241" s="104"/>
    </row>
    <row r="242" spans="1:26" x14ac:dyDescent="0.3">
      <c r="A242" s="22"/>
      <c r="B242" s="211"/>
      <c r="C242" s="211"/>
      <c r="D242" s="211"/>
      <c r="E242" s="95"/>
      <c r="F242" s="95"/>
      <c r="G242" s="95"/>
      <c r="H242" s="212"/>
      <c r="I242" s="27"/>
      <c r="J242" s="213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6"/>
      <c r="Z242" s="104"/>
    </row>
    <row r="243" spans="1:26" x14ac:dyDescent="0.25">
      <c r="A243" s="95"/>
      <c r="B243" s="100"/>
      <c r="C243" s="101"/>
      <c r="D243" s="101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95"/>
      <c r="Y243" s="96"/>
      <c r="Z243" s="104"/>
    </row>
    <row r="244" spans="1:26" x14ac:dyDescent="0.25">
      <c r="A244" s="181"/>
      <c r="B244" s="155"/>
      <c r="C244" s="156"/>
      <c r="D244" s="156"/>
      <c r="E244" s="157"/>
      <c r="F244" s="157"/>
      <c r="G244" s="157"/>
      <c r="H244" s="157"/>
      <c r="I244" s="157"/>
      <c r="J244" s="157"/>
      <c r="K244" s="157"/>
      <c r="L244" s="157"/>
      <c r="M244" s="157"/>
      <c r="N244" s="157"/>
      <c r="O244" s="157"/>
      <c r="P244" s="157"/>
      <c r="Q244" s="157"/>
      <c r="X244" s="105"/>
      <c r="Y244" s="96"/>
      <c r="Z244" s="104"/>
    </row>
    <row r="245" spans="1:26" x14ac:dyDescent="0.25">
      <c r="A245" s="181"/>
      <c r="C245" s="16"/>
      <c r="D245" s="16"/>
      <c r="X245" s="105"/>
      <c r="Y245" s="96"/>
      <c r="Z245" s="104"/>
    </row>
    <row r="246" spans="1:26" x14ac:dyDescent="0.25">
      <c r="A246" s="181"/>
      <c r="B246" s="104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  <c r="V246" s="104"/>
      <c r="W246" s="104"/>
      <c r="X246" s="105"/>
      <c r="Y246" s="96"/>
      <c r="Z246" s="104"/>
    </row>
    <row r="247" spans="1:26" x14ac:dyDescent="0.25">
      <c r="A247" s="181"/>
      <c r="X247" s="105"/>
      <c r="Y247" s="96"/>
      <c r="Z247" s="104"/>
    </row>
    <row r="248" spans="1:26" x14ac:dyDescent="0.25">
      <c r="A248" s="181"/>
      <c r="X248" s="105"/>
      <c r="Y248" s="96"/>
      <c r="Z248" s="104"/>
    </row>
    <row r="249" spans="1:26" x14ac:dyDescent="0.25">
      <c r="A249" s="181"/>
      <c r="X249" s="105"/>
      <c r="Y249" s="96"/>
      <c r="Z249" s="104"/>
    </row>
    <row r="250" spans="1:26" x14ac:dyDescent="0.25">
      <c r="A250" s="181"/>
      <c r="X250" s="105"/>
      <c r="Y250" s="96"/>
      <c r="Z250" s="104"/>
    </row>
    <row r="251" spans="1:26" x14ac:dyDescent="0.25">
      <c r="A251" s="181"/>
      <c r="H251" s="170" t="s">
        <v>413</v>
      </c>
      <c r="I251" s="143" t="s">
        <v>395</v>
      </c>
      <c r="J251" s="143" t="s">
        <v>411</v>
      </c>
      <c r="K251" s="143" t="s">
        <v>412</v>
      </c>
      <c r="X251" s="105"/>
      <c r="Y251" s="96"/>
      <c r="Z251" s="104"/>
    </row>
    <row r="252" spans="1:26" x14ac:dyDescent="0.25">
      <c r="A252" s="181"/>
      <c r="H252" s="171" t="str">
        <f>'Banco de Dados'!E5</f>
        <v>Anderson</v>
      </c>
      <c r="I252" s="214">
        <f>COUNTIF(Processos!$M$6:$M$249,H252)</f>
        <v>18</v>
      </c>
      <c r="J252" s="144">
        <f ca="1">SUMIF(Processos!$M$6:$AA$249,Tabela6[[#This Row],[Colunas1]],Processos!$AB$6:$AB$249)</f>
        <v>110</v>
      </c>
      <c r="K252" s="240">
        <f ca="1">IFERROR(Tabela6[[#This Row],[Colunas3]]/Tabela6[[#This Row],[Colunas2]],0)</f>
        <v>6.1111111111111107</v>
      </c>
      <c r="X252" s="105"/>
      <c r="Y252" s="96"/>
      <c r="Z252" s="104"/>
    </row>
    <row r="253" spans="1:26" x14ac:dyDescent="0.3">
      <c r="A253" s="181"/>
      <c r="B253" s="21"/>
      <c r="C253" s="21"/>
      <c r="D253" s="21"/>
      <c r="E253" s="21"/>
      <c r="H253" s="171" t="str">
        <f>'Banco de Dados'!E6</f>
        <v>Diego Eller</v>
      </c>
      <c r="I253" s="214">
        <f>COUNTIF(Processos!$M$6:$M$249,H253)</f>
        <v>20</v>
      </c>
      <c r="J253" s="144">
        <f ca="1">SUMIF(Processos!$M$6:$AA$249,Tabela6[[#This Row],[Colunas1]],Processos!$AB$6:$AB$249)</f>
        <v>500</v>
      </c>
      <c r="K253" s="240">
        <f ca="1">IFERROR(Tabela6[[#This Row],[Colunas3]]/Tabela6[[#This Row],[Colunas2]],0)</f>
        <v>25</v>
      </c>
      <c r="X253" s="105"/>
      <c r="Y253" s="96"/>
      <c r="Z253" s="104"/>
    </row>
    <row r="254" spans="1:26" x14ac:dyDescent="0.3">
      <c r="A254" s="181"/>
      <c r="B254" s="21"/>
      <c r="C254" s="21"/>
      <c r="D254" s="21"/>
      <c r="E254" s="21"/>
      <c r="H254" s="171" t="str">
        <f>'Banco de Dados'!E7</f>
        <v>Diego Ossanes</v>
      </c>
      <c r="I254" s="214">
        <f>COUNTIF(Processos!$M$6:$M$249,H254)</f>
        <v>16</v>
      </c>
      <c r="J254" s="144">
        <f ca="1">SUMIF(Processos!$M$6:$AA$249,Tabela6[[#This Row],[Colunas1]],Processos!$AB$6:$AB$249)</f>
        <v>113</v>
      </c>
      <c r="K254" s="240">
        <f ca="1">IFERROR(Tabela6[[#This Row],[Colunas3]]/Tabela6[[#This Row],[Colunas2]],0)</f>
        <v>7.0625</v>
      </c>
      <c r="X254" s="105"/>
      <c r="Y254" s="96"/>
      <c r="Z254" s="104"/>
    </row>
    <row r="255" spans="1:26" x14ac:dyDescent="0.25">
      <c r="A255" s="181"/>
      <c r="H255" s="171" t="str">
        <f>'Banco de Dados'!E8</f>
        <v>Gerson</v>
      </c>
      <c r="I255" s="214">
        <f>COUNTIF(Processos!$M$6:$M$249,H255)</f>
        <v>15</v>
      </c>
      <c r="J255" s="144">
        <f ca="1">SUMIF(Processos!$M$6:$AA$249,Tabela6[[#This Row],[Colunas1]],Processos!$AB$6:$AB$249)</f>
        <v>144</v>
      </c>
      <c r="K255" s="240">
        <f ca="1">IFERROR(Tabela6[[#This Row],[Colunas3]]/Tabela6[[#This Row],[Colunas2]],0)</f>
        <v>9.6</v>
      </c>
      <c r="X255" s="105"/>
      <c r="Y255" s="96"/>
      <c r="Z255" s="104"/>
    </row>
    <row r="256" spans="1:26" x14ac:dyDescent="0.25">
      <c r="A256" s="181"/>
      <c r="H256" s="171" t="str">
        <f>'Banco de Dados'!E9</f>
        <v>João (Bnu)</v>
      </c>
      <c r="I256" s="214">
        <f>COUNTIF(Processos!$M$6:$M$249,H256)</f>
        <v>0</v>
      </c>
      <c r="J256" s="144">
        <f ca="1">SUMIF(Processos!$M$6:$AA$249,Tabela6[[#This Row],[Colunas1]],Processos!$AB$6:$AB$249)</f>
        <v>0</v>
      </c>
      <c r="K256" s="240">
        <f ca="1">IFERROR(Tabela6[[#This Row],[Colunas3]]/Tabela6[[#This Row],[Colunas2]],0)</f>
        <v>0</v>
      </c>
      <c r="X256" s="105"/>
      <c r="Y256" s="96"/>
      <c r="Z256" s="104"/>
    </row>
    <row r="257" spans="1:26" x14ac:dyDescent="0.25">
      <c r="A257" s="181"/>
      <c r="H257" s="171" t="str">
        <f>'Banco de Dados'!E10</f>
        <v>Mery</v>
      </c>
      <c r="I257" s="214">
        <f>COUNTIF(Processos!$M$6:$M$249,H257)</f>
        <v>22</v>
      </c>
      <c r="J257" s="144">
        <f ca="1">SUMIF(Processos!$M$6:$AA$249,Tabela6[[#This Row],[Colunas1]],Processos!$AB$6:$AB$249)</f>
        <v>324</v>
      </c>
      <c r="K257" s="240">
        <f ca="1">IFERROR(Tabela6[[#This Row],[Colunas3]]/Tabela6[[#This Row],[Colunas2]],0)</f>
        <v>14.727272727272727</v>
      </c>
      <c r="X257" s="105"/>
      <c r="Y257" s="96"/>
      <c r="Z257" s="104"/>
    </row>
    <row r="258" spans="1:26" x14ac:dyDescent="0.25">
      <c r="A258" s="181"/>
      <c r="H258" s="171" t="str">
        <f>'Banco de Dados'!E11</f>
        <v>Nailor</v>
      </c>
      <c r="I258" s="214">
        <f>COUNTIF(Processos!$M$6:$M$249,H258)</f>
        <v>14</v>
      </c>
      <c r="J258" s="144">
        <f ca="1">SUMIF(Processos!$M$6:$AA$249,Tabela6[[#This Row],[Colunas1]],Processos!$AB$6:$AB$249)</f>
        <v>645</v>
      </c>
      <c r="K258" s="240">
        <f ca="1">IFERROR(Tabela6[[#This Row],[Colunas3]]/Tabela6[[#This Row],[Colunas2]],0)</f>
        <v>46.071428571428569</v>
      </c>
      <c r="X258" s="105"/>
      <c r="Y258" s="96"/>
      <c r="Z258" s="104"/>
    </row>
    <row r="259" spans="1:26" x14ac:dyDescent="0.25">
      <c r="A259" s="181"/>
      <c r="X259" s="105"/>
      <c r="Y259" s="96"/>
      <c r="Z259" s="104"/>
    </row>
    <row r="260" spans="1:26" x14ac:dyDescent="0.25">
      <c r="A260" s="181"/>
      <c r="H260" s="161" t="s">
        <v>397</v>
      </c>
      <c r="X260" s="105"/>
      <c r="Y260" s="96"/>
      <c r="Z260" s="104"/>
    </row>
    <row r="261" spans="1:26" x14ac:dyDescent="0.25">
      <c r="A261" s="181"/>
      <c r="H261" s="165" t="str">
        <f>INDEX(H252:H258,MATCH(MAX(I252:I258),I252:I258,0))</f>
        <v>Mery</v>
      </c>
      <c r="X261" s="105"/>
      <c r="Y261" s="96"/>
      <c r="Z261" s="104"/>
    </row>
    <row r="262" spans="1:26" x14ac:dyDescent="0.25">
      <c r="A262" s="181"/>
      <c r="X262" s="105"/>
      <c r="Y262" s="96"/>
      <c r="Z262" s="104"/>
    </row>
    <row r="263" spans="1:26" x14ac:dyDescent="0.3">
      <c r="A263" s="181"/>
      <c r="I263" s="21"/>
      <c r="J263" s="21"/>
      <c r="M263" s="215" t="s">
        <v>414</v>
      </c>
      <c r="X263" s="105"/>
      <c r="Y263" s="96"/>
      <c r="Z263" s="104"/>
    </row>
    <row r="264" spans="1:26" x14ac:dyDescent="0.25">
      <c r="A264" s="181"/>
      <c r="X264" s="105"/>
      <c r="Y264" s="96"/>
      <c r="Z264" s="104"/>
    </row>
    <row r="265" spans="1:26" x14ac:dyDescent="0.25">
      <c r="A265" s="181"/>
      <c r="M265" s="216"/>
      <c r="N265" s="143">
        <v>2017</v>
      </c>
      <c r="O265" s="143">
        <v>2018</v>
      </c>
      <c r="P265" s="143">
        <v>2019</v>
      </c>
      <c r="Q265" s="143">
        <v>2020</v>
      </c>
      <c r="R265" s="143">
        <v>2021</v>
      </c>
      <c r="S265" s="217"/>
      <c r="U265" s="217"/>
      <c r="X265" s="105"/>
      <c r="Y265" s="96"/>
      <c r="Z265" s="104"/>
    </row>
    <row r="266" spans="1:26" x14ac:dyDescent="0.3">
      <c r="A266" s="181"/>
      <c r="L266" s="21"/>
      <c r="M266" s="171" t="str">
        <f t="shared" ref="M266:M272" si="6">H252</f>
        <v>Anderson</v>
      </c>
      <c r="N266" s="144">
        <v>0</v>
      </c>
      <c r="O266" s="144">
        <v>44</v>
      </c>
      <c r="P266" s="144">
        <v>35</v>
      </c>
      <c r="Q266" s="144">
        <v>24</v>
      </c>
      <c r="R266" s="144">
        <f t="shared" ref="R266:R272" si="7">I252</f>
        <v>18</v>
      </c>
      <c r="S266" s="103"/>
      <c r="T266" s="21"/>
      <c r="U266" s="103"/>
      <c r="V266" s="21"/>
      <c r="X266" s="105"/>
      <c r="Y266" s="96"/>
      <c r="Z266" s="104"/>
    </row>
    <row r="267" spans="1:26" x14ac:dyDescent="0.3">
      <c r="A267" s="181"/>
      <c r="L267" s="21"/>
      <c r="M267" s="171" t="str">
        <f t="shared" si="6"/>
        <v>Diego Eller</v>
      </c>
      <c r="N267" s="144">
        <v>47</v>
      </c>
      <c r="O267" s="144">
        <v>40</v>
      </c>
      <c r="P267" s="144">
        <v>37</v>
      </c>
      <c r="Q267" s="144">
        <v>29</v>
      </c>
      <c r="R267" s="144">
        <f t="shared" si="7"/>
        <v>20</v>
      </c>
      <c r="S267" s="103"/>
      <c r="T267" s="21"/>
      <c r="U267" s="103"/>
      <c r="V267" s="21"/>
      <c r="X267" s="105"/>
      <c r="Y267" s="96"/>
      <c r="Z267" s="104"/>
    </row>
    <row r="268" spans="1:26" x14ac:dyDescent="0.3">
      <c r="A268" s="181"/>
      <c r="L268" s="21"/>
      <c r="M268" s="171" t="str">
        <f t="shared" si="6"/>
        <v>Diego Ossanes</v>
      </c>
      <c r="N268" s="144">
        <v>44</v>
      </c>
      <c r="O268" s="144">
        <v>50</v>
      </c>
      <c r="P268" s="144">
        <v>34</v>
      </c>
      <c r="Q268" s="144">
        <v>23</v>
      </c>
      <c r="R268" s="144">
        <f t="shared" si="7"/>
        <v>16</v>
      </c>
      <c r="S268" s="103"/>
      <c r="T268" s="21"/>
      <c r="U268" s="103"/>
      <c r="V268" s="21"/>
      <c r="X268" s="105"/>
      <c r="Y268" s="96"/>
      <c r="Z268" s="104"/>
    </row>
    <row r="269" spans="1:26" x14ac:dyDescent="0.3">
      <c r="A269" s="181"/>
      <c r="L269" s="21"/>
      <c r="M269" s="171" t="str">
        <f t="shared" si="6"/>
        <v>Gerson</v>
      </c>
      <c r="N269" s="144">
        <v>0</v>
      </c>
      <c r="O269" s="144">
        <v>0</v>
      </c>
      <c r="P269" s="144">
        <v>34</v>
      </c>
      <c r="Q269" s="144">
        <v>25</v>
      </c>
      <c r="R269" s="144">
        <f t="shared" si="7"/>
        <v>15</v>
      </c>
      <c r="S269" s="103"/>
      <c r="T269" s="21"/>
      <c r="U269" s="103"/>
      <c r="V269" s="21"/>
      <c r="X269" s="105"/>
      <c r="Y269" s="96"/>
      <c r="Z269" s="104"/>
    </row>
    <row r="270" spans="1:26" x14ac:dyDescent="0.3">
      <c r="A270" s="181"/>
      <c r="L270" s="21"/>
      <c r="M270" s="171" t="str">
        <f t="shared" si="6"/>
        <v>João (Bnu)</v>
      </c>
      <c r="N270" s="144">
        <v>40</v>
      </c>
      <c r="O270" s="144">
        <v>50</v>
      </c>
      <c r="P270" s="144">
        <v>30</v>
      </c>
      <c r="Q270" s="144">
        <v>17</v>
      </c>
      <c r="R270" s="144">
        <f t="shared" si="7"/>
        <v>0</v>
      </c>
      <c r="S270" s="103"/>
      <c r="T270" s="21"/>
      <c r="U270" s="103"/>
      <c r="V270" s="21"/>
      <c r="X270" s="105"/>
      <c r="Y270" s="96"/>
      <c r="Z270" s="104"/>
    </row>
    <row r="271" spans="1:26" x14ac:dyDescent="0.3">
      <c r="A271" s="181"/>
      <c r="L271" s="21"/>
      <c r="M271" s="171" t="str">
        <f t="shared" si="6"/>
        <v>Mery</v>
      </c>
      <c r="N271" s="144">
        <v>44</v>
      </c>
      <c r="O271" s="144">
        <v>59</v>
      </c>
      <c r="P271" s="144">
        <v>38</v>
      </c>
      <c r="Q271" s="144">
        <v>28</v>
      </c>
      <c r="R271" s="144">
        <f t="shared" si="7"/>
        <v>22</v>
      </c>
      <c r="S271" s="103"/>
      <c r="T271" s="21"/>
      <c r="U271" s="103"/>
      <c r="V271" s="21"/>
      <c r="X271" s="105"/>
      <c r="Y271" s="96"/>
      <c r="Z271" s="104"/>
    </row>
    <row r="272" spans="1:26" x14ac:dyDescent="0.3">
      <c r="A272" s="181"/>
      <c r="L272" s="21"/>
      <c r="M272" s="171" t="str">
        <f t="shared" si="6"/>
        <v>Nailor</v>
      </c>
      <c r="N272" s="144">
        <v>0</v>
      </c>
      <c r="O272" s="144">
        <v>38</v>
      </c>
      <c r="P272" s="144">
        <v>35</v>
      </c>
      <c r="Q272" s="144">
        <v>21</v>
      </c>
      <c r="R272" s="144">
        <f t="shared" si="7"/>
        <v>14</v>
      </c>
      <c r="S272" s="103"/>
      <c r="T272" s="21"/>
      <c r="U272" s="103"/>
      <c r="V272" s="21"/>
      <c r="X272" s="105"/>
      <c r="Y272" s="96"/>
      <c r="Z272" s="104"/>
    </row>
    <row r="273" spans="1:26" x14ac:dyDescent="0.25">
      <c r="A273" s="181"/>
      <c r="X273" s="105"/>
      <c r="Y273" s="96"/>
      <c r="Z273" s="104"/>
    </row>
    <row r="274" spans="1:26" x14ac:dyDescent="0.25">
      <c r="A274" s="181"/>
      <c r="X274" s="105"/>
      <c r="Y274" s="96"/>
      <c r="Z274" s="104"/>
    </row>
    <row r="275" spans="1:26" x14ac:dyDescent="0.25">
      <c r="A275" s="181"/>
      <c r="X275" s="105"/>
      <c r="Y275" s="96"/>
      <c r="Z275" s="104"/>
    </row>
    <row r="276" spans="1:26" x14ac:dyDescent="0.25">
      <c r="A276" s="181"/>
      <c r="X276" s="105"/>
      <c r="Y276" s="96"/>
      <c r="Z276" s="104"/>
    </row>
    <row r="277" spans="1:26" x14ac:dyDescent="0.25">
      <c r="A277" s="181"/>
      <c r="X277" s="105"/>
      <c r="Y277" s="96"/>
      <c r="Z277" s="104"/>
    </row>
    <row r="278" spans="1:26" x14ac:dyDescent="0.3">
      <c r="A278" s="181"/>
      <c r="B278" s="179"/>
      <c r="C278" s="180"/>
      <c r="D278" s="180"/>
      <c r="E278" s="154"/>
      <c r="F278" s="154"/>
      <c r="G278" s="154"/>
      <c r="H278" s="208"/>
      <c r="I278" s="209"/>
      <c r="J278" s="210"/>
      <c r="K278" s="154"/>
      <c r="L278" s="154"/>
      <c r="M278" s="154"/>
      <c r="N278" s="154"/>
      <c r="O278" s="154"/>
      <c r="P278" s="154"/>
      <c r="Q278" s="154"/>
      <c r="R278" s="154"/>
      <c r="S278" s="154"/>
      <c r="T278" s="154"/>
      <c r="U278" s="154"/>
      <c r="V278" s="154"/>
      <c r="W278" s="154"/>
      <c r="X278" s="105"/>
      <c r="Y278" s="96"/>
      <c r="Z278" s="104"/>
    </row>
    <row r="279" spans="1:26" x14ac:dyDescent="0.3">
      <c r="A279" s="22"/>
      <c r="B279" s="211"/>
      <c r="C279" s="211"/>
      <c r="D279" s="211"/>
      <c r="E279" s="95"/>
      <c r="F279" s="95"/>
      <c r="G279" s="95"/>
      <c r="H279" s="212"/>
      <c r="I279" s="27"/>
      <c r="J279" s="213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5"/>
      <c r="W279" s="95"/>
      <c r="X279" s="95"/>
      <c r="Y279" s="96"/>
      <c r="Z279" s="104"/>
    </row>
    <row r="280" spans="1:26" x14ac:dyDescent="0.25">
      <c r="A280" s="95"/>
      <c r="B280" s="100"/>
      <c r="C280" s="101"/>
      <c r="D280" s="101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95"/>
      <c r="Y280" s="96"/>
      <c r="Z280" s="104"/>
    </row>
    <row r="281" spans="1:26" x14ac:dyDescent="0.25">
      <c r="A281" s="181"/>
      <c r="B281" s="155"/>
      <c r="C281" s="156"/>
      <c r="D281" s="156"/>
      <c r="E281" s="157"/>
      <c r="F281" s="157"/>
      <c r="G281" s="157"/>
      <c r="H281" s="157"/>
      <c r="I281" s="157"/>
      <c r="J281" s="157"/>
      <c r="K281" s="157"/>
      <c r="L281" s="157"/>
      <c r="M281" s="157"/>
      <c r="N281" s="157"/>
      <c r="O281" s="157"/>
      <c r="P281" s="157"/>
      <c r="Q281" s="157"/>
      <c r="X281" s="105"/>
      <c r="Y281" s="96"/>
      <c r="Z281" s="104"/>
    </row>
    <row r="282" spans="1:26" x14ac:dyDescent="0.3">
      <c r="A282" s="18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X282" s="105"/>
      <c r="Y282" s="96"/>
      <c r="Z282" s="104"/>
    </row>
    <row r="283" spans="1:26" x14ac:dyDescent="0.3">
      <c r="A283" s="18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X283" s="105"/>
      <c r="Y283" s="96"/>
      <c r="Z283" s="104"/>
    </row>
    <row r="284" spans="1:26" x14ac:dyDescent="0.3">
      <c r="A284" s="18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X284" s="105"/>
      <c r="Y284" s="96"/>
      <c r="Z284" s="104"/>
    </row>
    <row r="285" spans="1:26" x14ac:dyDescent="0.3">
      <c r="A285" s="18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X285" s="105"/>
      <c r="Y285" s="96"/>
      <c r="Z285" s="104"/>
    </row>
    <row r="286" spans="1:26" x14ac:dyDescent="0.3">
      <c r="A286" s="18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X286" s="105"/>
      <c r="Y286" s="96"/>
      <c r="Z286" s="104"/>
    </row>
    <row r="287" spans="1:26" x14ac:dyDescent="0.3">
      <c r="A287" s="181"/>
      <c r="C287" s="21"/>
      <c r="D287" s="21"/>
      <c r="E287" s="21"/>
      <c r="F287" s="21"/>
      <c r="G287" s="21"/>
      <c r="H287" s="218" t="s">
        <v>415</v>
      </c>
      <c r="I287" s="218" t="s">
        <v>395</v>
      </c>
      <c r="J287" s="21"/>
      <c r="K287" s="21"/>
      <c r="L287" s="21"/>
      <c r="X287" s="105"/>
      <c r="Y287" s="96"/>
      <c r="Z287" s="104"/>
    </row>
    <row r="288" spans="1:26" x14ac:dyDescent="0.25">
      <c r="A288" s="181"/>
      <c r="H288" s="171" t="s">
        <v>416</v>
      </c>
      <c r="I288" s="144">
        <f>L23</f>
        <v>105</v>
      </c>
      <c r="X288" s="105"/>
      <c r="Y288" s="96"/>
      <c r="Z288" s="104"/>
    </row>
    <row r="289" spans="1:26" x14ac:dyDescent="0.25">
      <c r="A289" s="181"/>
      <c r="H289" s="171" t="s">
        <v>417</v>
      </c>
      <c r="I289" s="144">
        <f>COUNTIF(Processos!$S$6:$S$250,"Sim")</f>
        <v>0</v>
      </c>
      <c r="X289" s="105"/>
      <c r="Y289" s="96"/>
      <c r="Z289" s="104"/>
    </row>
    <row r="290" spans="1:26" x14ac:dyDescent="0.25">
      <c r="A290" s="181"/>
      <c r="H290" s="93"/>
      <c r="I290" s="93"/>
      <c r="X290" s="105"/>
      <c r="Y290" s="96"/>
      <c r="Z290" s="104"/>
    </row>
    <row r="291" spans="1:26" x14ac:dyDescent="0.3">
      <c r="A291" s="181"/>
      <c r="B291" s="21"/>
      <c r="C291" s="21"/>
      <c r="H291" s="172"/>
      <c r="I291" s="172"/>
      <c r="X291" s="105"/>
      <c r="Y291" s="96"/>
      <c r="Z291" s="104"/>
    </row>
    <row r="292" spans="1:26" x14ac:dyDescent="0.3">
      <c r="A292" s="181"/>
      <c r="B292" s="21"/>
      <c r="C292" s="21"/>
      <c r="H292" s="218" t="s">
        <v>418</v>
      </c>
      <c r="I292" s="218" t="s">
        <v>395</v>
      </c>
      <c r="X292" s="105"/>
      <c r="Y292" s="96"/>
      <c r="Z292" s="104"/>
    </row>
    <row r="293" spans="1:26" x14ac:dyDescent="0.3">
      <c r="A293" s="181"/>
      <c r="B293" s="21"/>
      <c r="C293" s="21"/>
      <c r="H293" s="171" t="s">
        <v>419</v>
      </c>
      <c r="I293" s="144">
        <f>COUNTIF(Processos!$T$6:$T$250,"Deferido")</f>
        <v>0</v>
      </c>
      <c r="X293" s="105"/>
      <c r="Y293" s="96"/>
      <c r="Z293" s="104"/>
    </row>
    <row r="294" spans="1:26" x14ac:dyDescent="0.3">
      <c r="A294" s="181"/>
      <c r="B294" s="21"/>
      <c r="C294" s="21"/>
      <c r="H294" s="171" t="s">
        <v>420</v>
      </c>
      <c r="I294" s="144">
        <f>COUNTIF(Processos!$T$6:$T$250,"Indeferido")</f>
        <v>0</v>
      </c>
      <c r="X294" s="105"/>
      <c r="Y294" s="96"/>
      <c r="Z294" s="104"/>
    </row>
    <row r="295" spans="1:26" x14ac:dyDescent="0.3">
      <c r="A295" s="181"/>
      <c r="B295" s="21"/>
      <c r="C295" s="21"/>
      <c r="H295" s="21"/>
      <c r="I295" s="21"/>
      <c r="X295" s="105"/>
      <c r="Y295" s="96"/>
      <c r="Z295" s="104"/>
    </row>
    <row r="296" spans="1:26" x14ac:dyDescent="0.3">
      <c r="A296" s="181"/>
      <c r="B296" s="21"/>
      <c r="C296" s="21"/>
      <c r="H296" s="21"/>
      <c r="I296" s="21"/>
      <c r="X296" s="105"/>
      <c r="Y296" s="96"/>
      <c r="Z296" s="104"/>
    </row>
    <row r="297" spans="1:26" x14ac:dyDescent="0.3">
      <c r="A297" s="181"/>
      <c r="B297" s="21"/>
      <c r="C297" s="21"/>
      <c r="H297" s="21"/>
      <c r="I297" s="21"/>
      <c r="X297" s="105"/>
      <c r="Y297" s="96"/>
      <c r="Z297" s="104"/>
    </row>
    <row r="298" spans="1:26" x14ac:dyDescent="0.25">
      <c r="A298" s="181"/>
      <c r="X298" s="105"/>
      <c r="Y298" s="96"/>
      <c r="Z298" s="104"/>
    </row>
    <row r="299" spans="1:26" x14ac:dyDescent="0.3">
      <c r="A299" s="181"/>
      <c r="B299" s="179"/>
      <c r="C299" s="180"/>
      <c r="D299" s="180"/>
      <c r="E299" s="154"/>
      <c r="F299" s="154"/>
      <c r="G299" s="154"/>
      <c r="H299" s="208"/>
      <c r="I299" s="209"/>
      <c r="J299" s="210"/>
      <c r="K299" s="154"/>
      <c r="L299" s="154"/>
      <c r="M299" s="154"/>
      <c r="N299" s="154"/>
      <c r="O299" s="154"/>
      <c r="P299" s="154"/>
      <c r="Q299" s="154"/>
      <c r="R299" s="154"/>
      <c r="S299" s="154"/>
      <c r="T299" s="154"/>
      <c r="U299" s="154"/>
      <c r="V299" s="154"/>
      <c r="W299" s="154"/>
      <c r="X299" s="105"/>
      <c r="Y299" s="96"/>
      <c r="Z299" s="104"/>
    </row>
    <row r="300" spans="1:26" x14ac:dyDescent="0.3">
      <c r="A300" s="22"/>
      <c r="B300" s="211"/>
      <c r="C300" s="211"/>
      <c r="D300" s="211"/>
      <c r="E300" s="95"/>
      <c r="F300" s="95"/>
      <c r="G300" s="95"/>
      <c r="H300" s="212"/>
      <c r="I300" s="27"/>
      <c r="J300" s="213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5"/>
      <c r="W300" s="95"/>
      <c r="X300" s="95"/>
      <c r="Y300" s="96"/>
      <c r="Z300" s="104"/>
    </row>
    <row r="301" spans="1:26" x14ac:dyDescent="0.25">
      <c r="A301" s="95"/>
      <c r="B301" s="100"/>
      <c r="C301" s="101"/>
      <c r="D301" s="101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95"/>
      <c r="Y301" s="96"/>
      <c r="Z301" s="104"/>
    </row>
    <row r="302" spans="1:26" x14ac:dyDescent="0.25">
      <c r="A302" s="181"/>
      <c r="B302" s="155"/>
      <c r="C302" s="156"/>
      <c r="D302" s="156"/>
      <c r="E302" s="157"/>
      <c r="F302" s="157"/>
      <c r="G302" s="157"/>
      <c r="H302" s="157"/>
      <c r="I302" s="157"/>
      <c r="J302" s="157"/>
      <c r="K302" s="157"/>
      <c r="L302" s="157"/>
      <c r="M302" s="157"/>
      <c r="N302" s="157"/>
      <c r="O302" s="157"/>
      <c r="P302" s="157"/>
      <c r="Q302" s="157"/>
      <c r="X302" s="105"/>
      <c r="Y302" s="96"/>
      <c r="Z302" s="104"/>
    </row>
    <row r="303" spans="1:26" x14ac:dyDescent="0.3">
      <c r="A303" s="18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X303" s="105"/>
      <c r="Y303" s="96"/>
      <c r="Z303" s="104"/>
    </row>
    <row r="304" spans="1:26" x14ac:dyDescent="0.25">
      <c r="A304" s="181"/>
      <c r="X304" s="105"/>
      <c r="Y304" s="96"/>
      <c r="Z304" s="104"/>
    </row>
    <row r="305" spans="1:26" x14ac:dyDescent="0.25">
      <c r="A305" s="181"/>
      <c r="H305" s="219" t="s">
        <v>421</v>
      </c>
      <c r="I305" s="218" t="s">
        <v>395</v>
      </c>
      <c r="X305" s="105"/>
      <c r="Y305" s="96"/>
      <c r="Z305" s="104"/>
    </row>
    <row r="306" spans="1:26" x14ac:dyDescent="0.25">
      <c r="A306" s="181"/>
      <c r="H306" s="171" t="s">
        <v>422</v>
      </c>
      <c r="I306" s="163">
        <f>COUNTIF(Processos!$Q$6:$Q$250,"Sim")</f>
        <v>3</v>
      </c>
      <c r="X306" s="105"/>
      <c r="Y306" s="96"/>
      <c r="Z306" s="104"/>
    </row>
    <row r="307" spans="1:26" x14ac:dyDescent="0.3">
      <c r="A307" s="181"/>
      <c r="B307" s="21"/>
      <c r="C307" s="21"/>
      <c r="H307" s="171" t="str">
        <f>H54</f>
        <v>Pregão Elet. Conc.</v>
      </c>
      <c r="I307" s="144">
        <f>COUNTIFS(Processos!$D$6:$D$249,Tabela15[[#This Row],[Colunas1]],Processos!$Q$6:$Q$249,"Sim")</f>
        <v>0</v>
      </c>
      <c r="X307" s="105"/>
      <c r="Y307" s="96"/>
      <c r="Z307" s="104"/>
    </row>
    <row r="308" spans="1:26" x14ac:dyDescent="0.3">
      <c r="A308" s="181"/>
      <c r="B308" s="21"/>
      <c r="C308" s="21"/>
      <c r="H308" s="171" t="str">
        <f>H55</f>
        <v>Leilão</v>
      </c>
      <c r="I308" s="144">
        <f>COUNTIFS(Processos!$D$6:$D$249,Tabela15[[#This Row],[Colunas1]],Processos!$Q$6:$Q$249,"Sim")</f>
        <v>0</v>
      </c>
      <c r="X308" s="105"/>
      <c r="Y308" s="96"/>
      <c r="Z308" s="104"/>
    </row>
    <row r="309" spans="1:26" x14ac:dyDescent="0.3">
      <c r="A309" s="181"/>
      <c r="B309" s="21"/>
      <c r="C309" s="21"/>
      <c r="H309" s="171" t="str">
        <f>H56</f>
        <v>Pregão Elet. - SRP</v>
      </c>
      <c r="I309" s="144">
        <f>COUNTIFS(Processos!$D$6:$D$249,Tabela15[[#This Row],[Colunas1]],Processos!$Q$6:$Q$249,"Sim")</f>
        <v>3</v>
      </c>
      <c r="X309" s="105"/>
      <c r="Y309" s="96"/>
      <c r="Z309" s="104"/>
    </row>
    <row r="310" spans="1:26" x14ac:dyDescent="0.3">
      <c r="A310" s="181"/>
      <c r="B310" s="21"/>
      <c r="C310" s="21"/>
      <c r="H310" s="171" t="str">
        <f>H57</f>
        <v>Pregão Elet. - Tradicional</v>
      </c>
      <c r="I310" s="144">
        <f>COUNTIFS(Processos!$D$6:$D$249,Tabela15[[#This Row],[Colunas1]],Processos!$Q$6:$Q$249,"Sim")</f>
        <v>0</v>
      </c>
      <c r="X310" s="105"/>
      <c r="Y310" s="96"/>
      <c r="Z310" s="104"/>
    </row>
    <row r="311" spans="1:26" x14ac:dyDescent="0.3">
      <c r="A311" s="181"/>
      <c r="B311" s="21"/>
      <c r="C311" s="21"/>
      <c r="H311" s="171" t="str">
        <f>H58</f>
        <v>RDC</v>
      </c>
      <c r="I311" s="144">
        <f>COUNTIFS(Processos!$D$6:$D$249,Tabela15[[#This Row],[Colunas1]],Processos!$Q$6:$Q$249,"Sim")</f>
        <v>0</v>
      </c>
      <c r="X311" s="105"/>
      <c r="Y311" s="96"/>
      <c r="Z311" s="104"/>
    </row>
    <row r="312" spans="1:26" x14ac:dyDescent="0.3">
      <c r="A312" s="181"/>
      <c r="B312" s="21"/>
      <c r="C312" s="21"/>
      <c r="X312" s="105"/>
      <c r="Y312" s="96"/>
      <c r="Z312" s="104"/>
    </row>
    <row r="313" spans="1:26" x14ac:dyDescent="0.3">
      <c r="A313" s="181"/>
      <c r="B313" s="21"/>
      <c r="C313" s="21"/>
      <c r="H313" s="219" t="s">
        <v>423</v>
      </c>
      <c r="I313" s="218" t="s">
        <v>395</v>
      </c>
      <c r="X313" s="105"/>
      <c r="Y313" s="96"/>
      <c r="Z313" s="104"/>
    </row>
    <row r="314" spans="1:26" x14ac:dyDescent="0.3">
      <c r="A314" s="181"/>
      <c r="B314" s="21"/>
      <c r="C314" s="21"/>
      <c r="H314" s="220" t="s">
        <v>424</v>
      </c>
      <c r="I314" s="163">
        <f>COUNTIFS(Processos!$R$6:$R$250,"Sim")</f>
        <v>0</v>
      </c>
      <c r="X314" s="105"/>
      <c r="Y314" s="96"/>
      <c r="Z314" s="104"/>
    </row>
    <row r="315" spans="1:26" x14ac:dyDescent="0.3">
      <c r="A315" s="181"/>
      <c r="B315" s="21"/>
      <c r="C315" s="21"/>
      <c r="H315" s="184" t="str">
        <f>H307</f>
        <v>Pregão Elet. Conc.</v>
      </c>
      <c r="I315" s="144">
        <f>COUNTIFS(Processos!$D$6:$D$249,Tabela16[[#This Row],[Colunas1]],Processos!$Q$6:$Q$249,"Sim",Processos!$R$6:$R$249,"Sim")</f>
        <v>0</v>
      </c>
      <c r="X315" s="105"/>
      <c r="Y315" s="96"/>
      <c r="Z315" s="104"/>
    </row>
    <row r="316" spans="1:26" x14ac:dyDescent="0.3">
      <c r="A316" s="181"/>
      <c r="B316" s="21"/>
      <c r="C316" s="21"/>
      <c r="H316" s="184" t="str">
        <f>H308</f>
        <v>Leilão</v>
      </c>
      <c r="I316" s="144">
        <f>COUNTIFS(Processos!$D$6:$D$249,Tabela16[[#This Row],[Colunas1]],Processos!$Q$6:$Q$249,"Sim",Processos!$R$6:$R$249,"Sim")</f>
        <v>0</v>
      </c>
      <c r="X316" s="105"/>
      <c r="Y316" s="96"/>
      <c r="Z316" s="104"/>
    </row>
    <row r="317" spans="1:26" x14ac:dyDescent="0.3">
      <c r="A317" s="181"/>
      <c r="B317" s="21"/>
      <c r="C317" s="21"/>
      <c r="H317" s="184" t="str">
        <f>H309</f>
        <v>Pregão Elet. - SRP</v>
      </c>
      <c r="I317" s="144">
        <f>COUNTIFS(Processos!$D$6:$D$249,Tabela16[[#This Row],[Colunas1]],Processos!$Q$6:$Q$249,"Sim",Processos!$R$6:$R$249,"Sim")</f>
        <v>0</v>
      </c>
      <c r="X317" s="105"/>
      <c r="Y317" s="96"/>
      <c r="Z317" s="104"/>
    </row>
    <row r="318" spans="1:26" x14ac:dyDescent="0.3">
      <c r="A318" s="181"/>
      <c r="B318" s="21"/>
      <c r="C318" s="21"/>
      <c r="H318" s="184" t="str">
        <f>H310</f>
        <v>Pregão Elet. - Tradicional</v>
      </c>
      <c r="I318" s="144">
        <f>COUNTIFS(Processos!$D$6:$D$249,Tabela16[[#This Row],[Colunas1]],Processos!$Q$6:$Q$249,"Sim",Processos!$R$6:$R$249,"Sim")</f>
        <v>0</v>
      </c>
      <c r="X318" s="105"/>
      <c r="Y318" s="96"/>
      <c r="Z318" s="104"/>
    </row>
    <row r="319" spans="1:26" x14ac:dyDescent="0.3">
      <c r="A319" s="181"/>
      <c r="B319" s="21"/>
      <c r="C319" s="21"/>
      <c r="H319" s="184" t="str">
        <f>H311</f>
        <v>RDC</v>
      </c>
      <c r="I319" s="144">
        <f>COUNTIFS(Processos!$D$6:$D$249,Tabela16[[#This Row],[Colunas1]],Processos!$Q$6:$Q$249,"Sim",Processos!$R$6:$R$249,"Sim")</f>
        <v>0</v>
      </c>
      <c r="X319" s="105"/>
      <c r="Y319" s="96"/>
      <c r="Z319" s="104"/>
    </row>
    <row r="320" spans="1:26" x14ac:dyDescent="0.3">
      <c r="A320" s="181"/>
      <c r="B320" s="21"/>
      <c r="C320" s="21"/>
      <c r="H320" s="188"/>
      <c r="I320" s="14"/>
      <c r="X320" s="105"/>
      <c r="Y320" s="96"/>
      <c r="Z320" s="104"/>
    </row>
    <row r="321" spans="1:26" x14ac:dyDescent="0.3">
      <c r="A321" s="181"/>
      <c r="B321" s="179"/>
      <c r="C321" s="180"/>
      <c r="D321" s="180"/>
      <c r="E321" s="154"/>
      <c r="F321" s="154"/>
      <c r="G321" s="154"/>
      <c r="H321" s="208"/>
      <c r="I321" s="209"/>
      <c r="J321" s="210"/>
      <c r="K321" s="154"/>
      <c r="L321" s="154"/>
      <c r="M321" s="154"/>
      <c r="N321" s="154"/>
      <c r="O321" s="154"/>
      <c r="P321" s="154"/>
      <c r="Q321" s="154"/>
      <c r="R321" s="154"/>
      <c r="S321" s="154"/>
      <c r="T321" s="154"/>
      <c r="U321" s="154"/>
      <c r="V321" s="154"/>
      <c r="W321" s="154"/>
      <c r="X321" s="105"/>
      <c r="Y321" s="96"/>
      <c r="Z321" s="104"/>
    </row>
    <row r="322" spans="1:26" x14ac:dyDescent="0.3">
      <c r="A322" s="22"/>
      <c r="B322" s="211"/>
      <c r="C322" s="211"/>
      <c r="D322" s="211"/>
      <c r="E322" s="95"/>
      <c r="F322" s="95"/>
      <c r="G322" s="95"/>
      <c r="H322" s="212"/>
      <c r="I322" s="27"/>
      <c r="J322" s="213"/>
      <c r="K322" s="95"/>
      <c r="L322" s="95"/>
      <c r="M322" s="95"/>
      <c r="N322" s="95"/>
      <c r="O322" s="95"/>
      <c r="P322" s="95"/>
      <c r="Q322" s="95"/>
      <c r="R322" s="95"/>
      <c r="S322" s="95"/>
      <c r="T322" s="95"/>
      <c r="U322" s="95"/>
      <c r="V322" s="95"/>
      <c r="W322" s="95"/>
      <c r="X322" s="95"/>
      <c r="Y322" s="96"/>
      <c r="Z322" s="104"/>
    </row>
    <row r="323" spans="1:26" x14ac:dyDescent="0.25">
      <c r="A323" s="95"/>
      <c r="B323" s="100"/>
      <c r="C323" s="101"/>
      <c r="D323" s="101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95"/>
      <c r="Y323" s="96"/>
      <c r="Z323" s="104"/>
    </row>
    <row r="324" spans="1:26" x14ac:dyDescent="0.25">
      <c r="A324" s="181"/>
      <c r="B324" s="155"/>
      <c r="C324" s="156"/>
      <c r="D324" s="156"/>
      <c r="E324" s="157"/>
      <c r="F324" s="157"/>
      <c r="G324" s="157"/>
      <c r="H324" s="157"/>
      <c r="I324" s="157"/>
      <c r="J324" s="157"/>
      <c r="K324" s="157"/>
      <c r="L324" s="157"/>
      <c r="M324" s="157"/>
      <c r="N324" s="157"/>
      <c r="O324" s="157"/>
      <c r="P324" s="157"/>
      <c r="Q324" s="157"/>
      <c r="X324" s="105"/>
      <c r="Y324" s="96"/>
      <c r="Z324" s="104"/>
    </row>
    <row r="325" spans="1:26" x14ac:dyDescent="0.3">
      <c r="A325" s="18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X325" s="105"/>
      <c r="Y325" s="96"/>
      <c r="Z325" s="104"/>
    </row>
    <row r="326" spans="1:26" x14ac:dyDescent="0.3">
      <c r="A326" s="181"/>
      <c r="B326" s="21"/>
      <c r="C326" s="21"/>
      <c r="X326" s="105"/>
      <c r="Y326" s="110"/>
    </row>
    <row r="327" spans="1:26" x14ac:dyDescent="0.3">
      <c r="A327" s="181"/>
      <c r="B327" s="21"/>
      <c r="C327" s="21"/>
      <c r="H327" s="183" t="s">
        <v>425</v>
      </c>
      <c r="I327" s="218" t="s">
        <v>395</v>
      </c>
      <c r="X327" s="105"/>
      <c r="Y327" s="110"/>
    </row>
    <row r="328" spans="1:26" x14ac:dyDescent="0.3">
      <c r="A328" s="181"/>
      <c r="B328" s="21"/>
      <c r="C328" s="21"/>
      <c r="H328" s="184" t="s">
        <v>426</v>
      </c>
      <c r="I328" s="144">
        <f>COUNTIFS(Processos!$W$6:$W$250,"Sim")</f>
        <v>19</v>
      </c>
      <c r="X328" s="105"/>
      <c r="Y328" s="110"/>
    </row>
    <row r="329" spans="1:26" x14ac:dyDescent="0.3">
      <c r="A329" s="181"/>
      <c r="B329" s="21"/>
      <c r="C329" s="21"/>
      <c r="H329" s="184" t="str">
        <f>H307</f>
        <v>Pregão Elet. Conc.</v>
      </c>
      <c r="I329" s="144">
        <f>COUNTIFS(Processos!$D$6:$D$249,Tabela17[[#This Row],[Colunas1]],Processos!$W$6:$W$249,"Sim")</f>
        <v>0</v>
      </c>
      <c r="X329" s="105"/>
      <c r="Y329" s="110"/>
    </row>
    <row r="330" spans="1:26" x14ac:dyDescent="0.3">
      <c r="A330" s="181"/>
      <c r="B330" s="21"/>
      <c r="C330" s="21"/>
      <c r="H330" s="184" t="str">
        <f>H308</f>
        <v>Leilão</v>
      </c>
      <c r="I330" s="144">
        <f>COUNTIFS(Processos!$D$6:$D$249,Tabela17[[#This Row],[Colunas1]],Processos!$W$6:$W$249,"Sim")</f>
        <v>0</v>
      </c>
      <c r="X330" s="105"/>
      <c r="Y330" s="110"/>
    </row>
    <row r="331" spans="1:26" x14ac:dyDescent="0.3">
      <c r="A331" s="181"/>
      <c r="B331" s="21"/>
      <c r="C331" s="21"/>
      <c r="H331" s="184" t="str">
        <f>H309</f>
        <v>Pregão Elet. - SRP</v>
      </c>
      <c r="I331" s="144">
        <f>COUNTIFS(Processos!$D$6:$D$249,Tabela17[[#This Row],[Colunas1]],Processos!$W$6:$W$249,"Sim")</f>
        <v>18</v>
      </c>
      <c r="X331" s="105"/>
      <c r="Y331" s="110"/>
    </row>
    <row r="332" spans="1:26" x14ac:dyDescent="0.3">
      <c r="A332" s="181"/>
      <c r="B332" s="21"/>
      <c r="C332" s="21"/>
      <c r="H332" s="184" t="str">
        <f>H310</f>
        <v>Pregão Elet. - Tradicional</v>
      </c>
      <c r="I332" s="144">
        <f>COUNTIFS(Processos!$D$6:$D$249,Tabela17[[#This Row],[Colunas1]],Processos!$W$6:$W$249,"Sim")</f>
        <v>0</v>
      </c>
      <c r="X332" s="105"/>
      <c r="Y332" s="110"/>
    </row>
    <row r="333" spans="1:26" x14ac:dyDescent="0.3">
      <c r="A333" s="181"/>
      <c r="B333" s="21"/>
      <c r="C333" s="21"/>
      <c r="H333" s="184" t="str">
        <f>H311</f>
        <v>RDC</v>
      </c>
      <c r="I333" s="144">
        <f>COUNTIFS(Processos!$D$6:$D$249,Tabela17[[#This Row],[Colunas1]],Processos!$W$6:$W$249,"Sim")</f>
        <v>1</v>
      </c>
      <c r="X333" s="105"/>
      <c r="Y333" s="110"/>
    </row>
    <row r="334" spans="1:26" x14ac:dyDescent="0.3">
      <c r="A334" s="181"/>
      <c r="B334" s="21"/>
      <c r="C334" s="21"/>
      <c r="H334" s="188"/>
      <c r="I334" s="172"/>
      <c r="X334" s="105"/>
      <c r="Y334" s="110"/>
    </row>
    <row r="335" spans="1:26" x14ac:dyDescent="0.3">
      <c r="A335" s="181"/>
      <c r="B335" s="21"/>
      <c r="C335" s="21"/>
      <c r="H335" s="183" t="s">
        <v>427</v>
      </c>
      <c r="I335" s="218" t="s">
        <v>395</v>
      </c>
      <c r="X335" s="105"/>
      <c r="Y335" s="110"/>
    </row>
    <row r="336" spans="1:26" x14ac:dyDescent="0.3">
      <c r="A336" s="181"/>
      <c r="B336" s="21"/>
      <c r="C336" s="21"/>
      <c r="H336" s="184" t="s">
        <v>428</v>
      </c>
      <c r="I336" s="144">
        <f>COUNTIFS(Processos!$X$6:$X$250,"Sim")</f>
        <v>5</v>
      </c>
      <c r="X336" s="105"/>
      <c r="Y336" s="110"/>
    </row>
    <row r="337" spans="1:25" x14ac:dyDescent="0.3">
      <c r="A337" s="181"/>
      <c r="B337" s="21"/>
      <c r="C337" s="21"/>
      <c r="H337" s="184" t="str">
        <f>H315</f>
        <v>Pregão Elet. Conc.</v>
      </c>
      <c r="I337" s="144">
        <f>COUNTIFS(Processos!$D$6:$D$249,Tabela18[[#This Row],[Colunas1]],Processos!$X$6:$X$249,"Sim")</f>
        <v>0</v>
      </c>
      <c r="X337" s="105"/>
      <c r="Y337" s="110"/>
    </row>
    <row r="338" spans="1:25" x14ac:dyDescent="0.3">
      <c r="A338" s="181"/>
      <c r="B338" s="21"/>
      <c r="C338" s="21"/>
      <c r="H338" s="184" t="str">
        <f>H316</f>
        <v>Leilão</v>
      </c>
      <c r="I338" s="144">
        <f>COUNTIFS(Processos!$D$6:$D$249,Tabela18[[#This Row],[Colunas1]],Processos!$X$6:$X$249,"Sim")</f>
        <v>0</v>
      </c>
      <c r="X338" s="105"/>
      <c r="Y338" s="110"/>
    </row>
    <row r="339" spans="1:25" x14ac:dyDescent="0.3">
      <c r="A339" s="181"/>
      <c r="B339" s="21"/>
      <c r="C339" s="21"/>
      <c r="H339" s="184" t="str">
        <f>H317</f>
        <v>Pregão Elet. - SRP</v>
      </c>
      <c r="I339" s="144">
        <f>COUNTIFS(Processos!$D$6:$D$249,Tabela18[[#This Row],[Colunas1]],Processos!$X$6:$X$249,"Sim")</f>
        <v>4</v>
      </c>
      <c r="X339" s="105"/>
      <c r="Y339" s="110"/>
    </row>
    <row r="340" spans="1:25" x14ac:dyDescent="0.3">
      <c r="A340" s="181"/>
      <c r="B340" s="21"/>
      <c r="C340" s="21"/>
      <c r="H340" s="184" t="str">
        <f>H318</f>
        <v>Pregão Elet. - Tradicional</v>
      </c>
      <c r="I340" s="144">
        <f>COUNTIFS(Processos!$D$6:$D$249,Tabela18[[#This Row],[Colunas1]],Processos!$X$6:$X$249,"Sim")</f>
        <v>0</v>
      </c>
      <c r="X340" s="105"/>
      <c r="Y340" s="110"/>
    </row>
    <row r="341" spans="1:25" x14ac:dyDescent="0.25">
      <c r="A341" s="181"/>
      <c r="H341" s="184" t="str">
        <f>H319</f>
        <v>RDC</v>
      </c>
      <c r="I341" s="144">
        <f>COUNTIFS(Processos!$D$6:$D$249,Tabela18[[#This Row],[Colunas1]],Processos!$X$6:$X$249,"Sim")</f>
        <v>1</v>
      </c>
      <c r="X341" s="105"/>
      <c r="Y341" s="110"/>
    </row>
    <row r="342" spans="1:25" x14ac:dyDescent="0.3">
      <c r="A342" s="181"/>
      <c r="B342" s="21"/>
      <c r="C342" s="21"/>
      <c r="H342" s="188"/>
      <c r="I342" s="14"/>
      <c r="X342" s="105"/>
      <c r="Y342" s="110"/>
    </row>
    <row r="343" spans="1:25" x14ac:dyDescent="0.3">
      <c r="A343" s="181"/>
      <c r="B343" s="179"/>
      <c r="C343" s="180"/>
      <c r="D343" s="180"/>
      <c r="E343" s="154"/>
      <c r="F343" s="154"/>
      <c r="G343" s="154"/>
      <c r="H343" s="208"/>
      <c r="I343" s="209"/>
      <c r="J343" s="210"/>
      <c r="K343" s="154"/>
      <c r="L343" s="154"/>
      <c r="M343" s="154"/>
      <c r="N343" s="154"/>
      <c r="O343" s="154"/>
      <c r="P343" s="154"/>
      <c r="Q343" s="154"/>
      <c r="R343" s="154"/>
      <c r="S343" s="154"/>
      <c r="T343" s="154"/>
      <c r="U343" s="154"/>
      <c r="V343" s="154"/>
      <c r="W343" s="154"/>
      <c r="X343" s="105"/>
      <c r="Y343" s="110"/>
    </row>
    <row r="344" spans="1:25" x14ac:dyDescent="0.3">
      <c r="A344" s="22"/>
      <c r="B344" s="211"/>
      <c r="C344" s="211"/>
      <c r="D344" s="211"/>
      <c r="E344" s="95"/>
      <c r="F344" s="95"/>
      <c r="G344" s="95"/>
      <c r="H344" s="212"/>
      <c r="I344" s="27"/>
      <c r="J344" s="213"/>
      <c r="K344" s="95"/>
      <c r="L344" s="95"/>
      <c r="M344" s="95"/>
      <c r="N344" s="95"/>
      <c r="O344" s="95"/>
      <c r="P344" s="95"/>
      <c r="Q344" s="95"/>
      <c r="R344" s="95"/>
      <c r="S344" s="95"/>
      <c r="T344" s="95"/>
      <c r="U344" s="95"/>
      <c r="V344" s="95"/>
      <c r="W344" s="95"/>
      <c r="X344" s="95"/>
      <c r="Y344" s="110"/>
    </row>
  </sheetData>
  <sheetProtection password="A31A" sheet="1" objects="1" scenarios="1" selectLockedCells="1" selectUnlockedCells="1"/>
  <pageMargins left="0.51180599999999998" right="0.51180599999999998" top="0.78749999999999998" bottom="0.78749999999999998" header="0.51180599999999998" footer="0.51180599999999998"/>
  <pageSetup paperSize="9" fitToWidth="0"/>
  <drawing r:id="rId2"/>
  <tableParts count="17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</tableParts>
  <extLst>
    <ext uri="smNativeData">
      <pm:sheetPrefs xmlns:pm="smNativeData" day="1624570504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6"/>
  <sheetViews>
    <sheetView showGridLines="0" zoomScale="85" workbookViewId="0">
      <selection activeCell="M11" sqref="M11"/>
    </sheetView>
  </sheetViews>
  <sheetFormatPr defaultRowHeight="15" x14ac:dyDescent="0.25"/>
  <cols>
    <col min="1" max="1" width="22" style="172" customWidth="1"/>
    <col min="2" max="2" width="5.5703125" style="172" customWidth="1"/>
    <col min="3" max="3" width="11.5703125" style="172" customWidth="1"/>
    <col min="4" max="4" width="11.140625" style="172" customWidth="1"/>
    <col min="5" max="5" width="14" style="172" customWidth="1"/>
    <col min="6" max="6" width="22.42578125" style="172" customWidth="1"/>
    <col min="7" max="7" width="45.5703125" style="172" customWidth="1"/>
    <col min="8" max="8" width="9.28515625" style="172" customWidth="1"/>
    <col min="9" max="1024" width="9.140625" style="172" customWidth="1"/>
  </cols>
  <sheetData>
    <row r="1" spans="1:8" ht="15" customHeight="1" x14ac:dyDescent="0.25">
      <c r="A1" s="178" t="s">
        <v>429</v>
      </c>
      <c r="B1" s="178" t="s">
        <v>430</v>
      </c>
      <c r="C1" s="178" t="s">
        <v>431</v>
      </c>
      <c r="D1" s="178" t="s">
        <v>432</v>
      </c>
      <c r="E1" s="178" t="s">
        <v>433</v>
      </c>
      <c r="F1" s="178" t="s">
        <v>434</v>
      </c>
      <c r="G1" s="178" t="s">
        <v>435</v>
      </c>
      <c r="H1" s="178" t="s">
        <v>436</v>
      </c>
    </row>
    <row r="2" spans="1:8" ht="15" customHeight="1" x14ac:dyDescent="0.25">
      <c r="A2" s="221"/>
      <c r="B2" s="221"/>
      <c r="C2" s="221"/>
      <c r="D2" s="221"/>
      <c r="E2" s="222"/>
      <c r="F2" s="222"/>
      <c r="G2" s="222"/>
      <c r="H2" s="222"/>
    </row>
    <row r="3" spans="1:8" ht="15" customHeight="1" x14ac:dyDescent="0.25">
      <c r="A3" s="222"/>
      <c r="B3" s="221"/>
      <c r="C3" s="221"/>
      <c r="D3" s="221"/>
      <c r="E3" s="222"/>
      <c r="F3" s="222"/>
      <c r="G3" s="222"/>
      <c r="H3" s="222"/>
    </row>
    <row r="4" spans="1:8" ht="15" customHeight="1" x14ac:dyDescent="0.25">
      <c r="A4" s="222" t="s">
        <v>437</v>
      </c>
      <c r="B4" s="222" t="s">
        <v>156</v>
      </c>
      <c r="C4" s="222" t="s">
        <v>438</v>
      </c>
      <c r="D4" s="222" t="s">
        <v>439</v>
      </c>
      <c r="E4" s="222" t="s">
        <v>440</v>
      </c>
      <c r="F4" s="223" t="s">
        <v>86</v>
      </c>
      <c r="G4" s="222" t="s">
        <v>441</v>
      </c>
      <c r="H4" s="224">
        <v>0.34375</v>
      </c>
    </row>
    <row r="5" spans="1:8" ht="15" customHeight="1" x14ac:dyDescent="0.25">
      <c r="A5" s="222" t="s">
        <v>66</v>
      </c>
      <c r="B5" s="222" t="s">
        <v>67</v>
      </c>
      <c r="C5" s="222" t="s">
        <v>69</v>
      </c>
      <c r="D5" s="222" t="s">
        <v>205</v>
      </c>
      <c r="E5" s="222" t="s">
        <v>105</v>
      </c>
      <c r="F5" s="225" t="s">
        <v>442</v>
      </c>
      <c r="G5" s="222" t="s">
        <v>443</v>
      </c>
      <c r="H5" s="224">
        <v>0.35416666666666702</v>
      </c>
    </row>
    <row r="6" spans="1:8" ht="15" customHeight="1" x14ac:dyDescent="0.25">
      <c r="A6" s="222" t="s">
        <v>75</v>
      </c>
      <c r="B6" s="222" t="s">
        <v>76</v>
      </c>
      <c r="C6" s="226" t="s">
        <v>174</v>
      </c>
      <c r="D6" s="222" t="s">
        <v>444</v>
      </c>
      <c r="E6" s="222" t="s">
        <v>110</v>
      </c>
      <c r="F6" s="227" t="s">
        <v>445</v>
      </c>
      <c r="G6" s="222" t="s">
        <v>222</v>
      </c>
      <c r="H6" s="224">
        <v>0.375</v>
      </c>
    </row>
    <row r="7" spans="1:8" ht="15" customHeight="1" x14ac:dyDescent="0.25">
      <c r="A7" s="222" t="s">
        <v>55</v>
      </c>
      <c r="B7" s="222" t="s">
        <v>56</v>
      </c>
      <c r="C7" s="226" t="s">
        <v>141</v>
      </c>
      <c r="D7" s="228" t="s">
        <v>446</v>
      </c>
      <c r="E7" s="229" t="s">
        <v>63</v>
      </c>
      <c r="F7" s="230" t="s">
        <v>319</v>
      </c>
      <c r="G7" s="222" t="s">
        <v>447</v>
      </c>
      <c r="H7" s="224">
        <v>0.38541666666666696</v>
      </c>
    </row>
    <row r="8" spans="1:8" ht="15" customHeight="1" x14ac:dyDescent="0.25">
      <c r="A8" s="222" t="s">
        <v>139</v>
      </c>
      <c r="B8" s="178"/>
      <c r="C8" s="226" t="s">
        <v>122</v>
      </c>
      <c r="D8" s="222" t="s">
        <v>137</v>
      </c>
      <c r="E8" s="229" t="s">
        <v>96</v>
      </c>
      <c r="F8" s="231" t="s">
        <v>145</v>
      </c>
      <c r="G8" s="222" t="s">
        <v>448</v>
      </c>
      <c r="H8" s="224">
        <v>0.39583333333333298</v>
      </c>
    </row>
    <row r="9" spans="1:8" ht="15" customHeight="1" x14ac:dyDescent="0.25">
      <c r="A9" s="178"/>
      <c r="B9" s="178"/>
      <c r="C9" s="226" t="s">
        <v>59</v>
      </c>
      <c r="D9" s="228" t="s">
        <v>71</v>
      </c>
      <c r="E9" s="229" t="s">
        <v>449</v>
      </c>
      <c r="F9" s="232" t="s">
        <v>450</v>
      </c>
      <c r="G9" s="222" t="s">
        <v>451</v>
      </c>
      <c r="H9" s="224">
        <v>0.41666666666666713</v>
      </c>
    </row>
    <row r="10" spans="1:8" ht="15" customHeight="1" x14ac:dyDescent="0.25">
      <c r="A10" s="178"/>
      <c r="B10" s="178"/>
      <c r="C10" s="178"/>
      <c r="D10" s="228" t="s">
        <v>200</v>
      </c>
      <c r="E10" s="229" t="s">
        <v>73</v>
      </c>
      <c r="F10" s="233" t="s">
        <v>452</v>
      </c>
      <c r="G10" s="172" t="s">
        <v>339</v>
      </c>
      <c r="H10" s="224">
        <v>0.58333333333333293</v>
      </c>
    </row>
    <row r="11" spans="1:8" ht="15" customHeight="1" x14ac:dyDescent="0.25">
      <c r="A11" s="178"/>
      <c r="B11" s="178"/>
      <c r="C11" s="178"/>
      <c r="D11" s="222" t="s">
        <v>124</v>
      </c>
      <c r="E11" s="229" t="s">
        <v>206</v>
      </c>
      <c r="G11" s="222" t="s">
        <v>453</v>
      </c>
      <c r="H11" s="224">
        <v>0.59375</v>
      </c>
    </row>
    <row r="12" spans="1:8" ht="15" customHeight="1" x14ac:dyDescent="0.25">
      <c r="A12" s="178"/>
      <c r="B12" s="178"/>
      <c r="C12" s="178"/>
      <c r="D12" s="228" t="s">
        <v>80</v>
      </c>
      <c r="E12" s="229" t="s">
        <v>454</v>
      </c>
      <c r="G12" s="222" t="s">
        <v>455</v>
      </c>
      <c r="H12" s="224">
        <v>0.60416666666666696</v>
      </c>
    </row>
    <row r="13" spans="1:8" ht="15" customHeight="1" x14ac:dyDescent="0.25">
      <c r="A13" s="178"/>
      <c r="B13" s="178"/>
      <c r="C13" s="178"/>
      <c r="D13" s="228" t="s">
        <v>456</v>
      </c>
      <c r="G13" s="222" t="s">
        <v>457</v>
      </c>
    </row>
    <row r="14" spans="1:8" ht="15" customHeight="1" x14ac:dyDescent="0.25">
      <c r="A14" s="178"/>
      <c r="B14" s="178"/>
      <c r="C14" s="178"/>
      <c r="D14" s="228" t="s">
        <v>323</v>
      </c>
      <c r="G14" s="222" t="s">
        <v>125</v>
      </c>
    </row>
    <row r="15" spans="1:8" ht="15" customHeight="1" x14ac:dyDescent="0.25">
      <c r="A15" s="178"/>
      <c r="B15" s="178"/>
      <c r="C15" s="178"/>
      <c r="D15" s="222" t="s">
        <v>458</v>
      </c>
      <c r="G15" s="222" t="s">
        <v>459</v>
      </c>
    </row>
    <row r="16" spans="1:8" ht="15" customHeight="1" x14ac:dyDescent="0.25">
      <c r="A16" s="178"/>
      <c r="B16" s="178"/>
      <c r="C16" s="178"/>
      <c r="D16" s="222" t="s">
        <v>210</v>
      </c>
      <c r="G16" s="222" t="s">
        <v>159</v>
      </c>
    </row>
    <row r="17" spans="1:8" ht="15" customHeight="1" x14ac:dyDescent="0.25">
      <c r="A17" s="178"/>
      <c r="B17" s="178"/>
      <c r="C17" s="178"/>
      <c r="D17" s="228" t="s">
        <v>279</v>
      </c>
      <c r="G17" s="222" t="s">
        <v>81</v>
      </c>
    </row>
    <row r="18" spans="1:8" ht="15" customHeight="1" x14ac:dyDescent="0.25">
      <c r="A18" s="178"/>
      <c r="B18" s="178"/>
      <c r="C18" s="178"/>
      <c r="D18" s="222" t="s">
        <v>460</v>
      </c>
      <c r="G18" s="222" t="s">
        <v>115</v>
      </c>
    </row>
    <row r="19" spans="1:8" ht="15" customHeight="1" x14ac:dyDescent="0.25">
      <c r="A19" s="178"/>
      <c r="B19" s="178"/>
      <c r="C19" s="178"/>
      <c r="D19" s="228" t="s">
        <v>461</v>
      </c>
      <c r="G19" s="222" t="s">
        <v>462</v>
      </c>
    </row>
    <row r="20" spans="1:8" ht="15" customHeight="1" x14ac:dyDescent="0.25">
      <c r="A20" s="178"/>
      <c r="B20" s="178"/>
      <c r="C20" s="178"/>
      <c r="D20" s="228" t="s">
        <v>463</v>
      </c>
      <c r="G20" s="222" t="s">
        <v>62</v>
      </c>
    </row>
    <row r="21" spans="1:8" ht="15" customHeight="1" x14ac:dyDescent="0.25">
      <c r="A21" s="178"/>
      <c r="B21" s="178"/>
      <c r="C21" s="178"/>
      <c r="D21" s="228" t="s">
        <v>95</v>
      </c>
      <c r="G21" s="222" t="s">
        <v>464</v>
      </c>
    </row>
    <row r="22" spans="1:8" ht="15" customHeight="1" x14ac:dyDescent="0.25">
      <c r="A22" s="178"/>
      <c r="B22" s="178"/>
      <c r="C22" s="178"/>
      <c r="D22" s="228" t="s">
        <v>241</v>
      </c>
      <c r="G22" s="222" t="s">
        <v>194</v>
      </c>
    </row>
    <row r="23" spans="1:8" ht="15" customHeight="1" x14ac:dyDescent="0.25">
      <c r="A23" s="178"/>
      <c r="B23" s="178"/>
      <c r="C23" s="178"/>
      <c r="D23" s="228" t="s">
        <v>465</v>
      </c>
      <c r="G23" s="222" t="s">
        <v>72</v>
      </c>
    </row>
    <row r="24" spans="1:8" ht="15" customHeight="1" x14ac:dyDescent="0.25">
      <c r="A24" s="178"/>
      <c r="B24" s="178"/>
      <c r="C24" s="178"/>
      <c r="D24" s="228" t="s">
        <v>181</v>
      </c>
      <c r="G24" s="222" t="s">
        <v>466</v>
      </c>
    </row>
    <row r="25" spans="1:8" ht="15" customHeight="1" x14ac:dyDescent="0.25">
      <c r="A25" s="178"/>
      <c r="B25" s="178"/>
      <c r="C25" s="178"/>
      <c r="D25" s="228" t="s">
        <v>467</v>
      </c>
      <c r="G25" s="222" t="s">
        <v>468</v>
      </c>
    </row>
    <row r="26" spans="1:8" ht="15" customHeight="1" x14ac:dyDescent="0.25">
      <c r="A26" s="178"/>
      <c r="B26" s="178"/>
      <c r="C26" s="178"/>
      <c r="D26" s="228" t="s">
        <v>109</v>
      </c>
      <c r="G26" s="222" t="s">
        <v>469</v>
      </c>
    </row>
    <row r="27" spans="1:8" ht="15" customHeight="1" x14ac:dyDescent="0.25">
      <c r="A27" s="178"/>
      <c r="D27" s="222" t="s">
        <v>470</v>
      </c>
      <c r="G27" s="222" t="s">
        <v>471</v>
      </c>
    </row>
    <row r="28" spans="1:8" ht="15" customHeight="1" x14ac:dyDescent="0.25">
      <c r="D28" s="222" t="s">
        <v>472</v>
      </c>
      <c r="G28" s="222" t="s">
        <v>473</v>
      </c>
      <c r="H28" s="234"/>
    </row>
    <row r="29" spans="1:8" ht="15" customHeight="1" x14ac:dyDescent="0.25">
      <c r="D29" s="222" t="s">
        <v>474</v>
      </c>
      <c r="G29" s="222" t="s">
        <v>318</v>
      </c>
      <c r="H29" s="234"/>
    </row>
    <row r="30" spans="1:8" ht="15" customHeight="1" x14ac:dyDescent="0.25">
      <c r="D30" s="222" t="s">
        <v>101</v>
      </c>
      <c r="G30" s="222" t="s">
        <v>475</v>
      </c>
      <c r="H30" s="234"/>
    </row>
    <row r="31" spans="1:8" ht="15" customHeight="1" x14ac:dyDescent="0.25">
      <c r="D31" s="228" t="s">
        <v>476</v>
      </c>
      <c r="G31" s="222" t="s">
        <v>143</v>
      </c>
      <c r="H31" s="234"/>
    </row>
    <row r="32" spans="1:8" ht="15" customHeight="1" x14ac:dyDescent="0.25">
      <c r="D32" s="228" t="s">
        <v>272</v>
      </c>
      <c r="G32" s="222" t="s">
        <v>477</v>
      </c>
      <c r="H32" s="234"/>
    </row>
    <row r="33" spans="4:8" ht="15" customHeight="1" x14ac:dyDescent="0.25">
      <c r="D33" s="222" t="s">
        <v>478</v>
      </c>
      <c r="G33" s="222" t="s">
        <v>479</v>
      </c>
      <c r="H33" s="234"/>
    </row>
    <row r="34" spans="4:8" ht="15" customHeight="1" x14ac:dyDescent="0.25">
      <c r="D34" s="228" t="s">
        <v>480</v>
      </c>
      <c r="G34" s="222" t="s">
        <v>165</v>
      </c>
      <c r="H34" s="14"/>
    </row>
    <row r="35" spans="4:8" ht="15" customHeight="1" x14ac:dyDescent="0.25">
      <c r="D35" s="222" t="s">
        <v>260</v>
      </c>
      <c r="G35" s="222" t="s">
        <v>481</v>
      </c>
      <c r="H35" s="14"/>
    </row>
    <row r="36" spans="4:8" ht="15" customHeight="1" x14ac:dyDescent="0.25">
      <c r="D36" s="222" t="s">
        <v>164</v>
      </c>
      <c r="G36" s="222"/>
      <c r="H36" s="14"/>
    </row>
    <row r="37" spans="4:8" ht="15" customHeight="1" x14ac:dyDescent="0.25">
      <c r="D37" s="228" t="s">
        <v>298</v>
      </c>
      <c r="G37" s="222"/>
      <c r="H37" s="14"/>
    </row>
    <row r="38" spans="4:8" ht="15" customHeight="1" x14ac:dyDescent="0.25">
      <c r="D38" s="228" t="s">
        <v>286</v>
      </c>
    </row>
    <row r="39" spans="4:8" ht="15" customHeight="1" x14ac:dyDescent="0.25">
      <c r="D39" s="222" t="s">
        <v>482</v>
      </c>
    </row>
    <row r="40" spans="4:8" ht="15" customHeight="1" x14ac:dyDescent="0.25">
      <c r="D40" s="228" t="s">
        <v>254</v>
      </c>
    </row>
    <row r="41" spans="4:8" ht="15" customHeight="1" x14ac:dyDescent="0.25">
      <c r="D41" s="228" t="s">
        <v>483</v>
      </c>
    </row>
    <row r="42" spans="4:8" ht="15" customHeight="1" x14ac:dyDescent="0.25">
      <c r="D42" s="222" t="s">
        <v>484</v>
      </c>
    </row>
    <row r="43" spans="4:8" ht="15" customHeight="1" x14ac:dyDescent="0.25">
      <c r="D43" s="228" t="s">
        <v>485</v>
      </c>
    </row>
    <row r="44" spans="4:8" ht="15" customHeight="1" x14ac:dyDescent="0.25">
      <c r="D44" s="222" t="s">
        <v>486</v>
      </c>
    </row>
    <row r="45" spans="4:8" ht="15" customHeight="1" x14ac:dyDescent="0.25">
      <c r="D45" s="222" t="s">
        <v>229</v>
      </c>
    </row>
    <row r="46" spans="4:8" ht="15" customHeight="1" x14ac:dyDescent="0.25">
      <c r="D46" s="228" t="s">
        <v>487</v>
      </c>
    </row>
    <row r="47" spans="4:8" ht="15" customHeight="1" x14ac:dyDescent="0.25">
      <c r="D47" s="228" t="s">
        <v>488</v>
      </c>
    </row>
    <row r="48" spans="4:8" ht="15" customHeight="1" x14ac:dyDescent="0.25">
      <c r="D48" s="228" t="s">
        <v>489</v>
      </c>
    </row>
    <row r="49" spans="4:4" ht="15" customHeight="1" x14ac:dyDescent="0.25">
      <c r="D49" s="222" t="s">
        <v>490</v>
      </c>
    </row>
    <row r="50" spans="4:4" ht="15" customHeight="1" x14ac:dyDescent="0.25">
      <c r="D50" s="228" t="s">
        <v>114</v>
      </c>
    </row>
    <row r="51" spans="4:4" ht="15" customHeight="1" x14ac:dyDescent="0.25">
      <c r="D51" s="222" t="s">
        <v>491</v>
      </c>
    </row>
    <row r="52" spans="4:4" ht="15" customHeight="1" x14ac:dyDescent="0.25">
      <c r="D52" s="228" t="s">
        <v>245</v>
      </c>
    </row>
    <row r="53" spans="4:4" ht="15" customHeight="1" x14ac:dyDescent="0.25">
      <c r="D53" s="222" t="s">
        <v>119</v>
      </c>
    </row>
    <row r="54" spans="4:4" ht="15" customHeight="1" x14ac:dyDescent="0.25">
      <c r="D54" s="222" t="s">
        <v>492</v>
      </c>
    </row>
    <row r="55" spans="4:4" ht="15" customHeight="1" x14ac:dyDescent="0.25">
      <c r="D55" s="222" t="s">
        <v>493</v>
      </c>
    </row>
    <row r="56" spans="4:4" ht="15" customHeight="1" x14ac:dyDescent="0.25">
      <c r="D56" s="228" t="s">
        <v>90</v>
      </c>
    </row>
    <row r="57" spans="4:4" ht="15" customHeight="1" x14ac:dyDescent="0.25">
      <c r="D57" s="228" t="s">
        <v>494</v>
      </c>
    </row>
    <row r="58" spans="4:4" ht="15" customHeight="1" x14ac:dyDescent="0.25">
      <c r="D58" s="222" t="s">
        <v>495</v>
      </c>
    </row>
    <row r="59" spans="4:4" ht="15" customHeight="1" x14ac:dyDescent="0.25">
      <c r="D59" s="222" t="s">
        <v>496</v>
      </c>
    </row>
    <row r="60" spans="4:4" ht="15" customHeight="1" x14ac:dyDescent="0.25">
      <c r="D60" s="228" t="s">
        <v>61</v>
      </c>
    </row>
    <row r="61" spans="4:4" ht="15" customHeight="1" x14ac:dyDescent="0.25">
      <c r="D61" s="222" t="s">
        <v>497</v>
      </c>
    </row>
    <row r="62" spans="4:4" ht="15" customHeight="1" x14ac:dyDescent="0.25">
      <c r="D62" s="222" t="s">
        <v>498</v>
      </c>
    </row>
    <row r="63" spans="4:4" ht="15" customHeight="1" x14ac:dyDescent="0.25">
      <c r="D63" s="222" t="s">
        <v>499</v>
      </c>
    </row>
    <row r="64" spans="4:4" ht="15" customHeight="1" x14ac:dyDescent="0.25">
      <c r="D64" s="222" t="s">
        <v>500</v>
      </c>
    </row>
    <row r="65" spans="4:4" ht="15" customHeight="1" x14ac:dyDescent="0.25">
      <c r="D65" s="222" t="s">
        <v>193</v>
      </c>
    </row>
    <row r="66" spans="4:4" x14ac:dyDescent="0.25">
      <c r="D66" s="222" t="s">
        <v>501</v>
      </c>
    </row>
  </sheetData>
  <sheetProtection password="A31A" sheet="1" objects="1" scenarios="1" selectLockedCells="1" selectUnlockedCells="1"/>
  <pageMargins left="0.51180599999999998" right="0.51180599999999998" top="0.78749999999999998" bottom="0.78749999999999998" header="0.51180599999999998" footer="0.51180599999999998"/>
  <pageSetup paperSize="9" fitToWidth="0"/>
  <extLst>
    <ext uri="smNativeData">
      <pm:sheetPrefs xmlns:pm="smNativeData" day="1624570504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Capa</vt:lpstr>
      <vt:lpstr>Processos</vt:lpstr>
      <vt:lpstr>Indicadores</vt:lpstr>
      <vt:lpstr>Banco de Dados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Admfln</dc:creator>
  <cp:keywords/>
  <dc:description/>
  <cp:lastModifiedBy>Windows</cp:lastModifiedBy>
  <cp:revision>0</cp:revision>
  <cp:lastPrinted>2019-01-08T13:20:49Z</cp:lastPrinted>
  <dcterms:created xsi:type="dcterms:W3CDTF">2017-05-22T22:22:20Z</dcterms:created>
  <dcterms:modified xsi:type="dcterms:W3CDTF">2021-09-13T14:09:21Z</dcterms:modified>
</cp:coreProperties>
</file>